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9315" windowHeight="12525"/>
  </bookViews>
  <sheets>
    <sheet name="Entry Required" sheetId="17" r:id="rId1"/>
    <sheet name="Discount Rates" sheetId="10" r:id="rId2"/>
    <sheet name="ROI Cash Rec'd Fed'l &amp; State" sheetId="11" r:id="rId3"/>
    <sheet name="ROI Cash Rec'd State Portion " sheetId="12" r:id="rId4"/>
    <sheet name="ROI Actual Expense Fed'l &amp;State" sheetId="8" r:id="rId5"/>
    <sheet name="Sheet1" sheetId="18" r:id="rId6"/>
  </sheets>
  <definedNames>
    <definedName name="_xlnm.Print_Area" localSheetId="1">'Discount Rates'!$A$1:$AE$106</definedName>
    <definedName name="_xlnm.Print_Area" localSheetId="4">'ROI Actual Expense Fed''l &amp;State'!$A$1:$F$57</definedName>
    <definedName name="_xlnm.Print_Area" localSheetId="2">'ROI Cash Rec''d Fed''l &amp; State'!$A$1:$F$53</definedName>
    <definedName name="_xlnm.Print_Area" localSheetId="3">'ROI Cash Rec''d State Portion '!$A$1:$F$52</definedName>
  </definedNames>
  <calcPr calcId="145621"/>
</workbook>
</file>

<file path=xl/calcChain.xml><?xml version="1.0" encoding="utf-8"?>
<calcChain xmlns="http://schemas.openxmlformats.org/spreadsheetml/2006/main">
  <c r="F43" i="8" l="1"/>
  <c r="C39" i="12"/>
  <c r="B26" i="12" s="1"/>
  <c r="D53" i="8"/>
  <c r="C56" i="8"/>
  <c r="C55" i="8"/>
  <c r="C53" i="8"/>
  <c r="B56" i="8"/>
  <c r="B55" i="8"/>
  <c r="B53" i="8"/>
  <c r="C42" i="8"/>
  <c r="C38" i="8"/>
  <c r="C39" i="8"/>
  <c r="C40" i="8"/>
  <c r="C41" i="8"/>
  <c r="C37" i="8"/>
  <c r="B42" i="8"/>
  <c r="B38" i="8"/>
  <c r="B39" i="8"/>
  <c r="B40" i="8"/>
  <c r="B41" i="8"/>
  <c r="B37" i="8"/>
  <c r="D48" i="12"/>
  <c r="C51" i="12"/>
  <c r="C50" i="12"/>
  <c r="C48" i="12"/>
  <c r="B51" i="12"/>
  <c r="B50" i="12"/>
  <c r="B48" i="12"/>
  <c r="B35" i="12"/>
  <c r="B36" i="12"/>
  <c r="B37" i="12"/>
  <c r="B38" i="12"/>
  <c r="B34" i="12"/>
  <c r="B11" i="17"/>
  <c r="C40" i="11" s="1"/>
  <c r="B27" i="11" s="1"/>
  <c r="D49" i="11"/>
  <c r="C52" i="11"/>
  <c r="C51" i="11"/>
  <c r="C49" i="11"/>
  <c r="B52" i="11"/>
  <c r="B51" i="11"/>
  <c r="B49" i="11"/>
  <c r="B36" i="11"/>
  <c r="B37" i="11"/>
  <c r="B38" i="11"/>
  <c r="B39" i="11"/>
  <c r="B35" i="11"/>
  <c r="B81" i="10"/>
  <c r="B66" i="10"/>
  <c r="B14" i="17"/>
  <c r="C41" i="11" s="1"/>
  <c r="F42" i="8" l="1"/>
  <c r="B6" i="10"/>
  <c r="C43" i="11"/>
  <c r="B21" i="10" l="1"/>
  <c r="B96" i="10"/>
  <c r="B36" i="10"/>
  <c r="E11" i="12"/>
  <c r="D11" i="12"/>
  <c r="C11" i="12"/>
  <c r="E11" i="11"/>
  <c r="D11" i="11"/>
  <c r="C11" i="11"/>
  <c r="B99" i="10" l="1"/>
  <c r="B39" i="10"/>
  <c r="C39" i="10" s="1"/>
  <c r="D39" i="10" s="1"/>
  <c r="E51" i="12"/>
  <c r="E50" i="12"/>
  <c r="B40" i="12"/>
  <c r="E52" i="11"/>
  <c r="D39" i="11"/>
  <c r="D38" i="11"/>
  <c r="D37" i="11"/>
  <c r="D36" i="11"/>
  <c r="D35" i="11"/>
  <c r="E53" i="8"/>
  <c r="C45" i="8" s="1"/>
  <c r="B69" i="8"/>
  <c r="B15" i="10"/>
  <c r="B16" i="10" s="1"/>
  <c r="B71" i="8"/>
  <c r="B68" i="8"/>
  <c r="B70" i="8" s="1"/>
  <c r="C68" i="8"/>
  <c r="C72" i="8" s="1"/>
  <c r="B66" i="8"/>
  <c r="B45" i="8"/>
  <c r="B44" i="8"/>
  <c r="C66" i="8"/>
  <c r="B43" i="8"/>
  <c r="B47" i="8" s="1"/>
  <c r="D42" i="8"/>
  <c r="A22" i="8"/>
  <c r="B84" i="10"/>
  <c r="B69" i="10"/>
  <c r="C69" i="10" s="1"/>
  <c r="D69" i="10" s="1"/>
  <c r="B24" i="10"/>
  <c r="C24" i="10" s="1"/>
  <c r="B30" i="10"/>
  <c r="C30" i="10" s="1"/>
  <c r="D30" i="10" s="1"/>
  <c r="B27" i="10"/>
  <c r="C27" i="10" s="1"/>
  <c r="C21" i="10"/>
  <c r="D21" i="10" s="1"/>
  <c r="E21" i="10" s="1"/>
  <c r="B22" i="10"/>
  <c r="E80" i="10"/>
  <c r="E95" i="10" s="1"/>
  <c r="F80" i="10"/>
  <c r="F95" i="10" s="1"/>
  <c r="G80" i="10"/>
  <c r="G95" i="10" s="1"/>
  <c r="H80" i="10"/>
  <c r="H95" i="10" s="1"/>
  <c r="I80" i="10"/>
  <c r="I95" i="10" s="1"/>
  <c r="J80" i="10"/>
  <c r="J95" i="10" s="1"/>
  <c r="K80" i="10"/>
  <c r="K95" i="10" s="1"/>
  <c r="L80" i="10"/>
  <c r="L95" i="10" s="1"/>
  <c r="M80" i="10"/>
  <c r="M95" i="10" s="1"/>
  <c r="N80" i="10"/>
  <c r="N95" i="10" s="1"/>
  <c r="O80" i="10"/>
  <c r="O95" i="10" s="1"/>
  <c r="P80" i="10"/>
  <c r="P95" i="10" s="1"/>
  <c r="Q80" i="10"/>
  <c r="Q95" i="10" s="1"/>
  <c r="R80" i="10"/>
  <c r="R95" i="10" s="1"/>
  <c r="S80" i="10"/>
  <c r="S95" i="10" s="1"/>
  <c r="T80" i="10"/>
  <c r="T95" i="10" s="1"/>
  <c r="U80" i="10"/>
  <c r="U95" i="10" s="1"/>
  <c r="V80" i="10"/>
  <c r="V95" i="10" s="1"/>
  <c r="W80" i="10"/>
  <c r="W95" i="10" s="1"/>
  <c r="X80" i="10"/>
  <c r="X95" i="10" s="1"/>
  <c r="Y80" i="10"/>
  <c r="Y95" i="10" s="1"/>
  <c r="Z80" i="10"/>
  <c r="Z95" i="10" s="1"/>
  <c r="AA80" i="10"/>
  <c r="AA95" i="10" s="1"/>
  <c r="AB80" i="10"/>
  <c r="AB95" i="10" s="1"/>
  <c r="AC80" i="10"/>
  <c r="AC95" i="10" s="1"/>
  <c r="AD80" i="10"/>
  <c r="AD95" i="10" s="1"/>
  <c r="AE80" i="10"/>
  <c r="AE95" i="10" s="1"/>
  <c r="D80" i="10"/>
  <c r="D95" i="10" s="1"/>
  <c r="C80" i="10"/>
  <c r="C95" i="10" s="1"/>
  <c r="B80" i="10"/>
  <c r="B95" i="10" s="1"/>
  <c r="B9" i="10"/>
  <c r="B10" i="10" s="1"/>
  <c r="B105" i="10"/>
  <c r="C105" i="10" s="1"/>
  <c r="B102" i="10"/>
  <c r="C102" i="10" s="1"/>
  <c r="C96" i="10"/>
  <c r="D96" i="10" s="1"/>
  <c r="E96" i="10" s="1"/>
  <c r="F96" i="10" s="1"/>
  <c r="B97" i="10"/>
  <c r="D34" i="12"/>
  <c r="D35" i="12"/>
  <c r="D36" i="12"/>
  <c r="D37" i="12"/>
  <c r="D38" i="12"/>
  <c r="D52" i="12"/>
  <c r="E51" i="11"/>
  <c r="D53" i="11"/>
  <c r="B80" i="8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B65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B50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B35" i="10"/>
  <c r="B90" i="10"/>
  <c r="C90" i="10" s="1"/>
  <c r="B87" i="10"/>
  <c r="C87" i="10" s="1"/>
  <c r="C81" i="10"/>
  <c r="D81" i="10" s="1"/>
  <c r="E81" i="10" s="1"/>
  <c r="B82" i="10"/>
  <c r="B75" i="10"/>
  <c r="B76" i="10" s="1"/>
  <c r="B72" i="10"/>
  <c r="B73" i="10" s="1"/>
  <c r="B67" i="10"/>
  <c r="B12" i="10"/>
  <c r="C12" i="10" s="1"/>
  <c r="D12" i="10" s="1"/>
  <c r="C66" i="10"/>
  <c r="D66" i="10" s="1"/>
  <c r="C36" i="10"/>
  <c r="D36" i="10" s="1"/>
  <c r="E36" i="10" s="1"/>
  <c r="C9" i="10"/>
  <c r="D9" i="10" s="1"/>
  <c r="C6" i="10"/>
  <c r="D6" i="10" s="1"/>
  <c r="E6" i="10" s="1"/>
  <c r="B7" i="10"/>
  <c r="D39" i="8"/>
  <c r="D40" i="8"/>
  <c r="D41" i="8"/>
  <c r="E56" i="8"/>
  <c r="D57" i="8"/>
  <c r="C57" i="8"/>
  <c r="E55" i="8"/>
  <c r="B57" i="8"/>
  <c r="D38" i="8"/>
  <c r="D37" i="8"/>
  <c r="D66" i="8" l="1"/>
  <c r="B13" i="10"/>
  <c r="C13" i="10" s="1"/>
  <c r="D13" i="10" s="1"/>
  <c r="B45" i="10"/>
  <c r="B46" i="10" s="1"/>
  <c r="C22" i="10"/>
  <c r="D22" i="10" s="1"/>
  <c r="E22" i="10" s="1"/>
  <c r="B28" i="10"/>
  <c r="C28" i="10" s="1"/>
  <c r="B40" i="10"/>
  <c r="C12" i="8" s="1"/>
  <c r="C44" i="8"/>
  <c r="B25" i="11"/>
  <c r="C72" i="10"/>
  <c r="D72" i="10" s="1"/>
  <c r="E72" i="10" s="1"/>
  <c r="B37" i="10"/>
  <c r="C37" i="10" s="1"/>
  <c r="D37" i="10" s="1"/>
  <c r="E37" i="10" s="1"/>
  <c r="C7" i="10"/>
  <c r="D7" i="10" s="1"/>
  <c r="E7" i="10" s="1"/>
  <c r="C10" i="10"/>
  <c r="D10" i="10" s="1"/>
  <c r="C15" i="10"/>
  <c r="D15" i="10" s="1"/>
  <c r="B42" i="10"/>
  <c r="B106" i="10"/>
  <c r="C106" i="10" s="1"/>
  <c r="D45" i="8"/>
  <c r="B53" i="11"/>
  <c r="B52" i="12"/>
  <c r="B42" i="12"/>
  <c r="D68" i="8"/>
  <c r="C53" i="11"/>
  <c r="E53" i="11" s="1"/>
  <c r="C52" i="12"/>
  <c r="E52" i="12" s="1"/>
  <c r="E49" i="11"/>
  <c r="C82" i="10"/>
  <c r="D82" i="10" s="1"/>
  <c r="E82" i="10" s="1"/>
  <c r="B88" i="10"/>
  <c r="B91" i="10"/>
  <c r="C91" i="10" s="1"/>
  <c r="B103" i="10"/>
  <c r="C103" i="10" s="1"/>
  <c r="D87" i="10"/>
  <c r="E87" i="10" s="1"/>
  <c r="C88" i="10"/>
  <c r="D90" i="10"/>
  <c r="C67" i="10"/>
  <c r="E57" i="8"/>
  <c r="E48" i="12"/>
  <c r="C40" i="12" s="1"/>
  <c r="B43" i="11"/>
  <c r="B39" i="12"/>
  <c r="D39" i="12" s="1"/>
  <c r="D4" i="12" s="1"/>
  <c r="C43" i="8"/>
  <c r="D43" i="8" s="1"/>
  <c r="B29" i="8" s="1"/>
  <c r="C69" i="8"/>
  <c r="B40" i="11"/>
  <c r="D40" i="11" s="1"/>
  <c r="B70" i="10"/>
  <c r="C75" i="10"/>
  <c r="D75" i="10" s="1"/>
  <c r="E75" i="10" s="1"/>
  <c r="D27" i="10"/>
  <c r="E27" i="10" s="1"/>
  <c r="D102" i="10"/>
  <c r="E102" i="10" s="1"/>
  <c r="D105" i="10"/>
  <c r="B51" i="10"/>
  <c r="E15" i="10"/>
  <c r="E12" i="10"/>
  <c r="F12" i="10" s="1"/>
  <c r="G12" i="10" s="1"/>
  <c r="H12" i="10" s="1"/>
  <c r="I12" i="10" s="1"/>
  <c r="J12" i="10" s="1"/>
  <c r="K12" i="10" s="1"/>
  <c r="L12" i="10" s="1"/>
  <c r="M12" i="10" s="1"/>
  <c r="N12" i="10" s="1"/>
  <c r="O12" i="10" s="1"/>
  <c r="P12" i="10" s="1"/>
  <c r="Q12" i="10" s="1"/>
  <c r="R12" i="10" s="1"/>
  <c r="S12" i="10" s="1"/>
  <c r="T12" i="10" s="1"/>
  <c r="U12" i="10" s="1"/>
  <c r="V12" i="10" s="1"/>
  <c r="W12" i="10" s="1"/>
  <c r="X12" i="10" s="1"/>
  <c r="Y12" i="10" s="1"/>
  <c r="Z12" i="10" s="1"/>
  <c r="AA12" i="10" s="1"/>
  <c r="AB12" i="10" s="1"/>
  <c r="AC12" i="10" s="1"/>
  <c r="AD12" i="10" s="1"/>
  <c r="AE12" i="10" s="1"/>
  <c r="C97" i="10"/>
  <c r="D97" i="10" s="1"/>
  <c r="E97" i="10" s="1"/>
  <c r="F97" i="10" s="1"/>
  <c r="B31" i="10"/>
  <c r="C31" i="10" s="1"/>
  <c r="D31" i="10" s="1"/>
  <c r="F6" i="10"/>
  <c r="E9" i="10"/>
  <c r="F15" i="10"/>
  <c r="F36" i="10"/>
  <c r="E66" i="10"/>
  <c r="D67" i="10"/>
  <c r="F81" i="10"/>
  <c r="E90" i="10"/>
  <c r="G96" i="10"/>
  <c r="F21" i="10"/>
  <c r="E30" i="10"/>
  <c r="C84" i="10"/>
  <c r="B85" i="10"/>
  <c r="C14" i="8" s="1"/>
  <c r="B100" i="10"/>
  <c r="C12" i="12" s="1"/>
  <c r="B24" i="12"/>
  <c r="C99" i="10"/>
  <c r="B25" i="10"/>
  <c r="D24" i="10"/>
  <c r="B23" i="12"/>
  <c r="E69" i="10"/>
  <c r="E39" i="10"/>
  <c r="C40" i="10"/>
  <c r="D40" i="10" s="1"/>
  <c r="B41" i="11"/>
  <c r="B27" i="8" l="1"/>
  <c r="C73" i="10"/>
  <c r="D73" i="10" s="1"/>
  <c r="E73" i="10" s="1"/>
  <c r="C45" i="10"/>
  <c r="C13" i="12"/>
  <c r="C14" i="12" s="1"/>
  <c r="C13" i="8"/>
  <c r="C15" i="8"/>
  <c r="C70" i="10"/>
  <c r="D70" i="10" s="1"/>
  <c r="B23" i="11"/>
  <c r="C9" i="12"/>
  <c r="C9" i="8"/>
  <c r="C16" i="10"/>
  <c r="D16" i="10" s="1"/>
  <c r="E16" i="10" s="1"/>
  <c r="F16" i="10" s="1"/>
  <c r="D40" i="12"/>
  <c r="D42" i="12" s="1"/>
  <c r="C42" i="12"/>
  <c r="B43" i="10"/>
  <c r="C42" i="10"/>
  <c r="C14" i="11"/>
  <c r="D4" i="11"/>
  <c r="C12" i="11"/>
  <c r="B25" i="8"/>
  <c r="C13" i="11"/>
  <c r="D28" i="10"/>
  <c r="E28" i="10" s="1"/>
  <c r="D106" i="10"/>
  <c r="C9" i="11"/>
  <c r="D103" i="10"/>
  <c r="E103" i="10" s="1"/>
  <c r="C47" i="8"/>
  <c r="D44" i="8"/>
  <c r="E105" i="10"/>
  <c r="F105" i="10" s="1"/>
  <c r="E13" i="10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Q13" i="10" s="1"/>
  <c r="R13" i="10" s="1"/>
  <c r="S13" i="10" s="1"/>
  <c r="T13" i="10" s="1"/>
  <c r="U13" i="10" s="1"/>
  <c r="V13" i="10" s="1"/>
  <c r="W13" i="10" s="1"/>
  <c r="X13" i="10" s="1"/>
  <c r="Y13" i="10" s="1"/>
  <c r="Z13" i="10" s="1"/>
  <c r="AA13" i="10" s="1"/>
  <c r="AB13" i="10" s="1"/>
  <c r="AC13" i="10" s="1"/>
  <c r="AD13" i="10" s="1"/>
  <c r="AE13" i="10" s="1"/>
  <c r="D91" i="10"/>
  <c r="E91" i="10" s="1"/>
  <c r="D88" i="10"/>
  <c r="E88" i="10" s="1"/>
  <c r="E29" i="8"/>
  <c r="C29" i="8"/>
  <c r="F29" i="8" s="1"/>
  <c r="D29" i="8"/>
  <c r="C70" i="8"/>
  <c r="D70" i="8" s="1"/>
  <c r="D69" i="8"/>
  <c r="C71" i="8"/>
  <c r="D71" i="8" s="1"/>
  <c r="E71" i="8" s="1"/>
  <c r="C76" i="10"/>
  <c r="D76" i="10" s="1"/>
  <c r="E76" i="10" s="1"/>
  <c r="B72" i="8"/>
  <c r="D72" i="8" s="1"/>
  <c r="E72" i="8" s="1"/>
  <c r="B60" i="10"/>
  <c r="B57" i="10"/>
  <c r="B54" i="10"/>
  <c r="B52" i="10"/>
  <c r="C51" i="10"/>
  <c r="C25" i="8"/>
  <c r="C23" i="11"/>
  <c r="C23" i="12"/>
  <c r="D41" i="11"/>
  <c r="D43" i="11" s="1"/>
  <c r="C27" i="8"/>
  <c r="C25" i="11"/>
  <c r="E40" i="10"/>
  <c r="F39" i="10"/>
  <c r="E70" i="10"/>
  <c r="F69" i="10"/>
  <c r="B25" i="12"/>
  <c r="E24" i="10"/>
  <c r="D99" i="10"/>
  <c r="C100" i="10"/>
  <c r="B24" i="11"/>
  <c r="B26" i="11" s="1"/>
  <c r="B26" i="8"/>
  <c r="C25" i="10"/>
  <c r="D25" i="10" s="1"/>
  <c r="F30" i="10"/>
  <c r="E31" i="10"/>
  <c r="F27" i="10"/>
  <c r="F22" i="10"/>
  <c r="G21" i="10"/>
  <c r="F102" i="10"/>
  <c r="F75" i="10"/>
  <c r="F66" i="10"/>
  <c r="E67" i="10"/>
  <c r="G36" i="10"/>
  <c r="F37" i="10"/>
  <c r="C85" i="10"/>
  <c r="D84" i="10"/>
  <c r="F72" i="10"/>
  <c r="H96" i="10"/>
  <c r="G97" i="10"/>
  <c r="F90" i="10"/>
  <c r="F87" i="10"/>
  <c r="G81" i="10"/>
  <c r="F82" i="10"/>
  <c r="G15" i="10"/>
  <c r="F9" i="10"/>
  <c r="E10" i="10"/>
  <c r="G6" i="10"/>
  <c r="F7" i="10"/>
  <c r="D45" i="10" l="1"/>
  <c r="C46" i="10"/>
  <c r="E106" i="10"/>
  <c r="D5" i="8"/>
  <c r="D42" i="10"/>
  <c r="C43" i="10"/>
  <c r="B28" i="8"/>
  <c r="B30" i="8" s="1"/>
  <c r="D47" i="8"/>
  <c r="E70" i="8"/>
  <c r="E73" i="8" s="1"/>
  <c r="D73" i="8"/>
  <c r="D51" i="10"/>
  <c r="C52" i="10"/>
  <c r="B55" i="10"/>
  <c r="C54" i="10"/>
  <c r="B61" i="10"/>
  <c r="C60" i="10"/>
  <c r="B58" i="10"/>
  <c r="C57" i="10"/>
  <c r="G7" i="10"/>
  <c r="H6" i="10"/>
  <c r="E84" i="10"/>
  <c r="D85" i="10"/>
  <c r="H21" i="10"/>
  <c r="G22" i="10"/>
  <c r="G27" i="10"/>
  <c r="F28" i="10"/>
  <c r="G69" i="10"/>
  <c r="F70" i="10"/>
  <c r="G39" i="10"/>
  <c r="F40" i="10"/>
  <c r="F10" i="10"/>
  <c r="G9" i="10"/>
  <c r="H15" i="10"/>
  <c r="G16" i="10"/>
  <c r="G82" i="10"/>
  <c r="H81" i="10"/>
  <c r="F88" i="10"/>
  <c r="G87" i="10"/>
  <c r="F91" i="10"/>
  <c r="G90" i="10"/>
  <c r="I96" i="10"/>
  <c r="H97" i="10"/>
  <c r="G72" i="10"/>
  <c r="F73" i="10"/>
  <c r="F106" i="10"/>
  <c r="G105" i="10"/>
  <c r="H36" i="10"/>
  <c r="G37" i="10"/>
  <c r="G66" i="10"/>
  <c r="F67" i="10"/>
  <c r="G75" i="10"/>
  <c r="F76" i="10"/>
  <c r="F103" i="10"/>
  <c r="G102" i="10"/>
  <c r="G30" i="10"/>
  <c r="F31" i="10"/>
  <c r="D100" i="10"/>
  <c r="C24" i="12" s="1"/>
  <c r="C25" i="12" s="1"/>
  <c r="E99" i="10"/>
  <c r="E25" i="10"/>
  <c r="F24" i="10"/>
  <c r="C15" i="11"/>
  <c r="D5" i="12"/>
  <c r="C16" i="12" s="1"/>
  <c r="E45" i="10" l="1"/>
  <c r="F45" i="10" s="1"/>
  <c r="D46" i="10"/>
  <c r="B31" i="8"/>
  <c r="B32" i="8"/>
  <c r="C17" i="8"/>
  <c r="E42" i="10"/>
  <c r="F42" i="10" s="1"/>
  <c r="D43" i="10"/>
  <c r="D57" i="10"/>
  <c r="C58" i="10"/>
  <c r="D60" i="10"/>
  <c r="C61" i="10"/>
  <c r="D54" i="10"/>
  <c r="C55" i="10"/>
  <c r="E51" i="10"/>
  <c r="F51" i="10" s="1"/>
  <c r="D52" i="10"/>
  <c r="C27" i="11"/>
  <c r="E27" i="11"/>
  <c r="B28" i="11"/>
  <c r="D27" i="11"/>
  <c r="G24" i="10"/>
  <c r="F25" i="10"/>
  <c r="F99" i="10"/>
  <c r="E100" i="10"/>
  <c r="H102" i="10"/>
  <c r="G103" i="10"/>
  <c r="H105" i="10"/>
  <c r="G106" i="10"/>
  <c r="H90" i="10"/>
  <c r="G91" i="10"/>
  <c r="H87" i="10"/>
  <c r="G88" i="10"/>
  <c r="I81" i="10"/>
  <c r="H82" i="10"/>
  <c r="H9" i="10"/>
  <c r="G10" i="10"/>
  <c r="G40" i="10"/>
  <c r="H39" i="10"/>
  <c r="G70" i="10"/>
  <c r="H69" i="10"/>
  <c r="G28" i="10"/>
  <c r="H27" i="10"/>
  <c r="H22" i="10"/>
  <c r="I21" i="10"/>
  <c r="C26" i="8"/>
  <c r="C28" i="8" s="1"/>
  <c r="C30" i="8" s="1"/>
  <c r="C24" i="11"/>
  <c r="C26" i="11" s="1"/>
  <c r="I6" i="10"/>
  <c r="H7" i="10"/>
  <c r="E26" i="12"/>
  <c r="C26" i="12"/>
  <c r="D26" i="12"/>
  <c r="B27" i="12"/>
  <c r="H30" i="10"/>
  <c r="G31" i="10"/>
  <c r="H75" i="10"/>
  <c r="G76" i="10"/>
  <c r="H66" i="10"/>
  <c r="G67" i="10"/>
  <c r="I36" i="10"/>
  <c r="H37" i="10"/>
  <c r="H72" i="10"/>
  <c r="G73" i="10"/>
  <c r="J96" i="10"/>
  <c r="I97" i="10"/>
  <c r="I15" i="10"/>
  <c r="H16" i="10"/>
  <c r="D25" i="11"/>
  <c r="D27" i="8"/>
  <c r="D23" i="11"/>
  <c r="D25" i="8"/>
  <c r="D23" i="12"/>
  <c r="E85" i="10"/>
  <c r="F84" i="10"/>
  <c r="E46" i="10" l="1"/>
  <c r="G45" i="10"/>
  <c r="F46" i="10"/>
  <c r="E43" i="10"/>
  <c r="E52" i="10"/>
  <c r="F43" i="10"/>
  <c r="G42" i="10"/>
  <c r="G51" i="10"/>
  <c r="F52" i="10"/>
  <c r="D55" i="10"/>
  <c r="E54" i="10"/>
  <c r="D61" i="10"/>
  <c r="E60" i="10"/>
  <c r="D58" i="10"/>
  <c r="E57" i="10"/>
  <c r="J15" i="10"/>
  <c r="I16" i="10"/>
  <c r="K96" i="10"/>
  <c r="J97" i="10"/>
  <c r="I72" i="10"/>
  <c r="H73" i="10"/>
  <c r="J36" i="10"/>
  <c r="I37" i="10"/>
  <c r="I66" i="10"/>
  <c r="H67" i="10"/>
  <c r="I75" i="10"/>
  <c r="H76" i="10"/>
  <c r="H31" i="10"/>
  <c r="I30" i="10"/>
  <c r="I7" i="10"/>
  <c r="J6" i="10"/>
  <c r="C32" i="8"/>
  <c r="C31" i="8"/>
  <c r="G84" i="10"/>
  <c r="F85" i="10"/>
  <c r="B28" i="12"/>
  <c r="B29" i="12"/>
  <c r="F26" i="12"/>
  <c r="C27" i="12"/>
  <c r="J21" i="10"/>
  <c r="I22" i="10"/>
  <c r="I27" i="10"/>
  <c r="H28" i="10"/>
  <c r="I69" i="10"/>
  <c r="H70" i="10"/>
  <c r="I39" i="10"/>
  <c r="H40" i="10"/>
  <c r="H10" i="10"/>
  <c r="I9" i="10"/>
  <c r="I82" i="10"/>
  <c r="J81" i="10"/>
  <c r="H88" i="10"/>
  <c r="I87" i="10"/>
  <c r="H91" i="10"/>
  <c r="I90" i="10"/>
  <c r="H106" i="10"/>
  <c r="I105" i="10"/>
  <c r="H103" i="10"/>
  <c r="I102" i="10"/>
  <c r="F100" i="10"/>
  <c r="D24" i="12" s="1"/>
  <c r="D25" i="12" s="1"/>
  <c r="D27" i="12" s="1"/>
  <c r="G99" i="10"/>
  <c r="G25" i="10"/>
  <c r="H24" i="10"/>
  <c r="B30" i="11"/>
  <c r="B29" i="11"/>
  <c r="F27" i="11"/>
  <c r="C28" i="11"/>
  <c r="H45" i="10" l="1"/>
  <c r="G46" i="10"/>
  <c r="G43" i="10"/>
  <c r="H42" i="10"/>
  <c r="F57" i="10"/>
  <c r="E58" i="10"/>
  <c r="F60" i="10"/>
  <c r="E61" i="10"/>
  <c r="F54" i="10"/>
  <c r="E55" i="10"/>
  <c r="H51" i="10"/>
  <c r="G52" i="10"/>
  <c r="D28" i="12"/>
  <c r="D29" i="12"/>
  <c r="I40" i="10"/>
  <c r="J39" i="10"/>
  <c r="I70" i="10"/>
  <c r="J69" i="10"/>
  <c r="I28" i="10"/>
  <c r="J27" i="10"/>
  <c r="J22" i="10"/>
  <c r="K21" i="10"/>
  <c r="G85" i="10"/>
  <c r="H84" i="10"/>
  <c r="J75" i="10"/>
  <c r="I76" i="10"/>
  <c r="J66" i="10"/>
  <c r="I67" i="10"/>
  <c r="K36" i="10"/>
  <c r="J37" i="10"/>
  <c r="J72" i="10"/>
  <c r="I73" i="10"/>
  <c r="L96" i="10"/>
  <c r="K97" i="10"/>
  <c r="K15" i="10"/>
  <c r="J16" i="10"/>
  <c r="C29" i="11"/>
  <c r="C30" i="11"/>
  <c r="I24" i="10"/>
  <c r="H25" i="10"/>
  <c r="H99" i="10"/>
  <c r="G100" i="10"/>
  <c r="J102" i="10"/>
  <c r="I103" i="10"/>
  <c r="J105" i="10"/>
  <c r="I106" i="10"/>
  <c r="J90" i="10"/>
  <c r="I91" i="10"/>
  <c r="J87" i="10"/>
  <c r="I88" i="10"/>
  <c r="K81" i="10"/>
  <c r="J82" i="10"/>
  <c r="J9" i="10"/>
  <c r="I10" i="10"/>
  <c r="C28" i="12"/>
  <c r="C29" i="12"/>
  <c r="D24" i="11"/>
  <c r="D26" i="11" s="1"/>
  <c r="D26" i="8"/>
  <c r="D28" i="8" s="1"/>
  <c r="D30" i="8" s="1"/>
  <c r="K6" i="10"/>
  <c r="J7" i="10"/>
  <c r="J30" i="10"/>
  <c r="I31" i="10"/>
  <c r="H46" i="10" l="1"/>
  <c r="I45" i="10"/>
  <c r="H43" i="10"/>
  <c r="I42" i="10"/>
  <c r="D28" i="11"/>
  <c r="D29" i="11" s="1"/>
  <c r="D5" i="11"/>
  <c r="C16" i="11" s="1"/>
  <c r="H52" i="10"/>
  <c r="I51" i="10"/>
  <c r="G54" i="10"/>
  <c r="F55" i="10"/>
  <c r="G60" i="10"/>
  <c r="F61" i="10"/>
  <c r="G57" i="10"/>
  <c r="F58" i="10"/>
  <c r="K7" i="10"/>
  <c r="L6" i="10"/>
  <c r="D32" i="8"/>
  <c r="D31" i="8"/>
  <c r="I84" i="10"/>
  <c r="H85" i="10"/>
  <c r="J31" i="10"/>
  <c r="K30" i="10"/>
  <c r="J10" i="10"/>
  <c r="K9" i="10"/>
  <c r="K82" i="10"/>
  <c r="L81" i="10"/>
  <c r="J88" i="10"/>
  <c r="K87" i="10"/>
  <c r="J91" i="10"/>
  <c r="K90" i="10"/>
  <c r="J106" i="10"/>
  <c r="K105" i="10"/>
  <c r="J103" i="10"/>
  <c r="K102" i="10"/>
  <c r="H100" i="10"/>
  <c r="I99" i="10"/>
  <c r="I25" i="10"/>
  <c r="J24" i="10"/>
  <c r="L15" i="10"/>
  <c r="K16" i="10"/>
  <c r="M96" i="10"/>
  <c r="L97" i="10"/>
  <c r="K72" i="10"/>
  <c r="J73" i="10"/>
  <c r="L36" i="10"/>
  <c r="K37" i="10"/>
  <c r="K66" i="10"/>
  <c r="J67" i="10"/>
  <c r="K75" i="10"/>
  <c r="J76" i="10"/>
  <c r="L21" i="10"/>
  <c r="K22" i="10"/>
  <c r="K27" i="10"/>
  <c r="J28" i="10"/>
  <c r="K69" i="10"/>
  <c r="J70" i="10"/>
  <c r="K39" i="10"/>
  <c r="J40" i="10"/>
  <c r="J45" i="10" l="1"/>
  <c r="I46" i="10"/>
  <c r="I43" i="10"/>
  <c r="J42" i="10"/>
  <c r="D30" i="11"/>
  <c r="J51" i="10"/>
  <c r="I52" i="10"/>
  <c r="G58" i="10"/>
  <c r="H57" i="10"/>
  <c r="G61" i="10"/>
  <c r="H60" i="10"/>
  <c r="G55" i="10"/>
  <c r="H54" i="10"/>
  <c r="K24" i="10"/>
  <c r="J25" i="10"/>
  <c r="J99" i="10"/>
  <c r="I100" i="10"/>
  <c r="L102" i="10"/>
  <c r="K103" i="10"/>
  <c r="L105" i="10"/>
  <c r="K106" i="10"/>
  <c r="L90" i="10"/>
  <c r="K91" i="10"/>
  <c r="L87" i="10"/>
  <c r="K88" i="10"/>
  <c r="M81" i="10"/>
  <c r="L82" i="10"/>
  <c r="L9" i="10"/>
  <c r="K10" i="10"/>
  <c r="L30" i="10"/>
  <c r="K31" i="10"/>
  <c r="M6" i="10"/>
  <c r="L7" i="10"/>
  <c r="K40" i="10"/>
  <c r="L39" i="10"/>
  <c r="K70" i="10"/>
  <c r="D13" i="8" s="1"/>
  <c r="L69" i="10"/>
  <c r="K28" i="10"/>
  <c r="L27" i="10"/>
  <c r="L22" i="10"/>
  <c r="M21" i="10"/>
  <c r="L75" i="10"/>
  <c r="K76" i="10"/>
  <c r="L66" i="10"/>
  <c r="K67" i="10"/>
  <c r="M36" i="10"/>
  <c r="L37" i="10"/>
  <c r="L72" i="10"/>
  <c r="K73" i="10"/>
  <c r="N96" i="10"/>
  <c r="M97" i="10"/>
  <c r="M15" i="10"/>
  <c r="L16" i="10"/>
  <c r="I85" i="10"/>
  <c r="J84" i="10"/>
  <c r="K45" i="10" l="1"/>
  <c r="J46" i="10"/>
  <c r="D12" i="11"/>
  <c r="D12" i="8"/>
  <c r="D13" i="11"/>
  <c r="D13" i="12"/>
  <c r="K42" i="10"/>
  <c r="J43" i="10"/>
  <c r="I54" i="10"/>
  <c r="H55" i="10"/>
  <c r="I60" i="10"/>
  <c r="H61" i="10"/>
  <c r="I57" i="10"/>
  <c r="H58" i="10"/>
  <c r="K51" i="10"/>
  <c r="J52" i="10"/>
  <c r="K84" i="10"/>
  <c r="J85" i="10"/>
  <c r="N21" i="10"/>
  <c r="M22" i="10"/>
  <c r="M27" i="10"/>
  <c r="L28" i="10"/>
  <c r="M69" i="10"/>
  <c r="L70" i="10"/>
  <c r="L40" i="10"/>
  <c r="M39" i="10"/>
  <c r="N15" i="10"/>
  <c r="M16" i="10"/>
  <c r="O96" i="10"/>
  <c r="N97" i="10"/>
  <c r="M72" i="10"/>
  <c r="L73" i="10"/>
  <c r="N36" i="10"/>
  <c r="M37" i="10"/>
  <c r="M66" i="10"/>
  <c r="L67" i="10"/>
  <c r="M75" i="10"/>
  <c r="L76" i="10"/>
  <c r="E23" i="12"/>
  <c r="E25" i="8"/>
  <c r="E23" i="11"/>
  <c r="E25" i="11"/>
  <c r="E27" i="8"/>
  <c r="M7" i="10"/>
  <c r="N6" i="10"/>
  <c r="L31" i="10"/>
  <c r="M30" i="10"/>
  <c r="L10" i="10"/>
  <c r="M9" i="10"/>
  <c r="M82" i="10"/>
  <c r="N81" i="10"/>
  <c r="L88" i="10"/>
  <c r="M87" i="10"/>
  <c r="L91" i="10"/>
  <c r="M90" i="10"/>
  <c r="L106" i="10"/>
  <c r="M105" i="10"/>
  <c r="L103" i="10"/>
  <c r="M102" i="10"/>
  <c r="J100" i="10"/>
  <c r="K99" i="10"/>
  <c r="K25" i="10"/>
  <c r="D9" i="8" s="1"/>
  <c r="L24" i="10"/>
  <c r="L45" i="10" l="1"/>
  <c r="K46" i="10"/>
  <c r="L42" i="10"/>
  <c r="K43" i="10"/>
  <c r="D9" i="11"/>
  <c r="D9" i="12"/>
  <c r="L51" i="10"/>
  <c r="K52" i="10"/>
  <c r="J57" i="10"/>
  <c r="I58" i="10"/>
  <c r="J60" i="10"/>
  <c r="I61" i="10"/>
  <c r="J54" i="10"/>
  <c r="I55" i="10"/>
  <c r="L99" i="10"/>
  <c r="K100" i="10"/>
  <c r="N90" i="10"/>
  <c r="M91" i="10"/>
  <c r="N39" i="10"/>
  <c r="M40" i="10"/>
  <c r="M24" i="10"/>
  <c r="L25" i="10"/>
  <c r="N102" i="10"/>
  <c r="M103" i="10"/>
  <c r="N105" i="10"/>
  <c r="M106" i="10"/>
  <c r="N87" i="10"/>
  <c r="M88" i="10"/>
  <c r="O81" i="10"/>
  <c r="N82" i="10"/>
  <c r="N9" i="10"/>
  <c r="M10" i="10"/>
  <c r="N30" i="10"/>
  <c r="M31" i="10"/>
  <c r="O6" i="10"/>
  <c r="N7" i="10"/>
  <c r="N75" i="10"/>
  <c r="M76" i="10"/>
  <c r="N66" i="10"/>
  <c r="M67" i="10"/>
  <c r="O36" i="10"/>
  <c r="N37" i="10"/>
  <c r="N72" i="10"/>
  <c r="M73" i="10"/>
  <c r="P96" i="10"/>
  <c r="O97" i="10"/>
  <c r="O15" i="10"/>
  <c r="N16" i="10"/>
  <c r="M70" i="10"/>
  <c r="N69" i="10"/>
  <c r="M28" i="10"/>
  <c r="N27" i="10"/>
  <c r="N22" i="10"/>
  <c r="O21" i="10"/>
  <c r="K85" i="10"/>
  <c r="L84" i="10"/>
  <c r="L46" i="10" l="1"/>
  <c r="M45" i="10"/>
  <c r="D14" i="11"/>
  <c r="D15" i="11" s="1"/>
  <c r="D16" i="11" s="1"/>
  <c r="D14" i="8"/>
  <c r="D15" i="8" s="1"/>
  <c r="D17" i="8" s="1"/>
  <c r="E24" i="12"/>
  <c r="E25" i="12" s="1"/>
  <c r="E27" i="12" s="1"/>
  <c r="E29" i="12" s="1"/>
  <c r="D12" i="12"/>
  <c r="D14" i="12" s="1"/>
  <c r="D16" i="12" s="1"/>
  <c r="L43" i="10"/>
  <c r="M42" i="10"/>
  <c r="K54" i="10"/>
  <c r="J55" i="10"/>
  <c r="K60" i="10"/>
  <c r="J61" i="10"/>
  <c r="K57" i="10"/>
  <c r="J58" i="10"/>
  <c r="L52" i="10"/>
  <c r="M51" i="10"/>
  <c r="M84" i="10"/>
  <c r="L85" i="10"/>
  <c r="P21" i="10"/>
  <c r="O22" i="10"/>
  <c r="O27" i="10"/>
  <c r="N28" i="10"/>
  <c r="O69" i="10"/>
  <c r="N70" i="10"/>
  <c r="O7" i="10"/>
  <c r="P6" i="10"/>
  <c r="N31" i="10"/>
  <c r="O30" i="10"/>
  <c r="N10" i="10"/>
  <c r="O9" i="10"/>
  <c r="O82" i="10"/>
  <c r="P81" i="10"/>
  <c r="N88" i="10"/>
  <c r="O87" i="10"/>
  <c r="N106" i="10"/>
  <c r="O105" i="10"/>
  <c r="N103" i="10"/>
  <c r="O102" i="10"/>
  <c r="M25" i="10"/>
  <c r="N24" i="10"/>
  <c r="N40" i="10"/>
  <c r="O39" i="10"/>
  <c r="E28" i="12"/>
  <c r="N91" i="10"/>
  <c r="O90" i="10"/>
  <c r="L100" i="10"/>
  <c r="M99" i="10"/>
  <c r="E26" i="8"/>
  <c r="E28" i="8" s="1"/>
  <c r="E30" i="8" s="1"/>
  <c r="E24" i="11"/>
  <c r="E26" i="11" s="1"/>
  <c r="E28" i="11" s="1"/>
  <c r="P15" i="10"/>
  <c r="O16" i="10"/>
  <c r="Q96" i="10"/>
  <c r="P97" i="10"/>
  <c r="O72" i="10"/>
  <c r="N73" i="10"/>
  <c r="P36" i="10"/>
  <c r="O37" i="10"/>
  <c r="O66" i="10"/>
  <c r="N67" i="10"/>
  <c r="O75" i="10"/>
  <c r="N76" i="10"/>
  <c r="N45" i="10" l="1"/>
  <c r="M46" i="10"/>
  <c r="N42" i="10"/>
  <c r="M43" i="10"/>
  <c r="N51" i="10"/>
  <c r="M52" i="10"/>
  <c r="L57" i="10"/>
  <c r="K58" i="10"/>
  <c r="L60" i="10"/>
  <c r="K61" i="10"/>
  <c r="L54" i="10"/>
  <c r="K55" i="10"/>
  <c r="P75" i="10"/>
  <c r="O76" i="10"/>
  <c r="P66" i="10"/>
  <c r="O67" i="10"/>
  <c r="Q36" i="10"/>
  <c r="P37" i="10"/>
  <c r="P72" i="10"/>
  <c r="O73" i="10"/>
  <c r="R96" i="10"/>
  <c r="Q97" i="10"/>
  <c r="Q15" i="10"/>
  <c r="P16" i="10"/>
  <c r="N99" i="10"/>
  <c r="M100" i="10"/>
  <c r="P90" i="10"/>
  <c r="O91" i="10"/>
  <c r="P39" i="10"/>
  <c r="O40" i="10"/>
  <c r="O24" i="10"/>
  <c r="N25" i="10"/>
  <c r="P102" i="10"/>
  <c r="O103" i="10"/>
  <c r="P105" i="10"/>
  <c r="O106" i="10"/>
  <c r="P87" i="10"/>
  <c r="O88" i="10"/>
  <c r="Q81" i="10"/>
  <c r="P82" i="10"/>
  <c r="P9" i="10"/>
  <c r="O10" i="10"/>
  <c r="P30" i="10"/>
  <c r="O31" i="10"/>
  <c r="Q6" i="10"/>
  <c r="P7" i="10"/>
  <c r="O70" i="10"/>
  <c r="P69" i="10"/>
  <c r="O28" i="10"/>
  <c r="P27" i="10"/>
  <c r="P22" i="10"/>
  <c r="Q21" i="10"/>
  <c r="M85" i="10"/>
  <c r="N84" i="10"/>
  <c r="E29" i="11"/>
  <c r="E30" i="11"/>
  <c r="E31" i="8"/>
  <c r="E32" i="8"/>
  <c r="O45" i="10" l="1"/>
  <c r="N46" i="10"/>
  <c r="O42" i="10"/>
  <c r="N43" i="10"/>
  <c r="M54" i="10"/>
  <c r="L55" i="10"/>
  <c r="M60" i="10"/>
  <c r="L61" i="10"/>
  <c r="M57" i="10"/>
  <c r="L58" i="10"/>
  <c r="O51" i="10"/>
  <c r="N52" i="10"/>
  <c r="Q7" i="10"/>
  <c r="R6" i="10"/>
  <c r="Q30" i="10"/>
  <c r="P31" i="10"/>
  <c r="P10" i="10"/>
  <c r="Q9" i="10"/>
  <c r="Q82" i="10"/>
  <c r="R81" i="10"/>
  <c r="P88" i="10"/>
  <c r="Q87" i="10"/>
  <c r="P106" i="10"/>
  <c r="Q105" i="10"/>
  <c r="P103" i="10"/>
  <c r="Q102" i="10"/>
  <c r="O25" i="10"/>
  <c r="P24" i="10"/>
  <c r="P40" i="10"/>
  <c r="Q39" i="10"/>
  <c r="P91" i="10"/>
  <c r="Q90" i="10"/>
  <c r="N100" i="10"/>
  <c r="O99" i="10"/>
  <c r="R15" i="10"/>
  <c r="Q16" i="10"/>
  <c r="R97" i="10"/>
  <c r="S96" i="10"/>
  <c r="Q72" i="10"/>
  <c r="P73" i="10"/>
  <c r="R36" i="10"/>
  <c r="Q37" i="10"/>
  <c r="Q66" i="10"/>
  <c r="P67" i="10"/>
  <c r="Q75" i="10"/>
  <c r="P76" i="10"/>
  <c r="O84" i="10"/>
  <c r="N85" i="10"/>
  <c r="R21" i="10"/>
  <c r="Q22" i="10"/>
  <c r="Q27" i="10"/>
  <c r="P28" i="10"/>
  <c r="Q69" i="10"/>
  <c r="P70" i="10"/>
  <c r="P45" i="10" l="1"/>
  <c r="O46" i="10"/>
  <c r="O43" i="10"/>
  <c r="P42" i="10"/>
  <c r="O52" i="10"/>
  <c r="P51" i="10"/>
  <c r="N57" i="10"/>
  <c r="M58" i="10"/>
  <c r="N60" i="10"/>
  <c r="M61" i="10"/>
  <c r="N54" i="10"/>
  <c r="M55" i="10"/>
  <c r="Q70" i="10"/>
  <c r="R69" i="10"/>
  <c r="Q28" i="10"/>
  <c r="R27" i="10"/>
  <c r="R22" i="10"/>
  <c r="S21" i="10"/>
  <c r="O85" i="10"/>
  <c r="P84" i="10"/>
  <c r="R75" i="10"/>
  <c r="Q76" i="10"/>
  <c r="R66" i="10"/>
  <c r="Q67" i="10"/>
  <c r="S36" i="10"/>
  <c r="R37" i="10"/>
  <c r="R72" i="10"/>
  <c r="Q73" i="10"/>
  <c r="S15" i="10"/>
  <c r="R16" i="10"/>
  <c r="R30" i="10"/>
  <c r="Q31" i="10"/>
  <c r="T96" i="10"/>
  <c r="S97" i="10"/>
  <c r="P99" i="10"/>
  <c r="O100" i="10"/>
  <c r="R90" i="10"/>
  <c r="Q91" i="10"/>
  <c r="R39" i="10"/>
  <c r="Q40" i="10"/>
  <c r="Q24" i="10"/>
  <c r="P25" i="10"/>
  <c r="R102" i="10"/>
  <c r="Q103" i="10"/>
  <c r="R105" i="10"/>
  <c r="Q106" i="10"/>
  <c r="R87" i="10"/>
  <c r="Q88" i="10"/>
  <c r="S81" i="10"/>
  <c r="R82" i="10"/>
  <c r="R9" i="10"/>
  <c r="Q10" i="10"/>
  <c r="S6" i="10"/>
  <c r="R7" i="10"/>
  <c r="Q45" i="10" l="1"/>
  <c r="P46" i="10"/>
  <c r="Q42" i="10"/>
  <c r="P43" i="10"/>
  <c r="Q51" i="10"/>
  <c r="P52" i="10"/>
  <c r="N55" i="10"/>
  <c r="O54" i="10"/>
  <c r="N61" i="10"/>
  <c r="O60" i="10"/>
  <c r="N58" i="10"/>
  <c r="O57" i="10"/>
  <c r="S7" i="10"/>
  <c r="T6" i="10"/>
  <c r="R10" i="10"/>
  <c r="S9" i="10"/>
  <c r="S82" i="10"/>
  <c r="T81" i="10"/>
  <c r="R88" i="10"/>
  <c r="S87" i="10"/>
  <c r="R106" i="10"/>
  <c r="S105" i="10"/>
  <c r="R103" i="10"/>
  <c r="S102" i="10"/>
  <c r="Q25" i="10"/>
  <c r="R24" i="10"/>
  <c r="R40" i="10"/>
  <c r="S39" i="10"/>
  <c r="R91" i="10"/>
  <c r="S90" i="10"/>
  <c r="P100" i="10"/>
  <c r="Q99" i="10"/>
  <c r="T97" i="10"/>
  <c r="U96" i="10"/>
  <c r="S30" i="10"/>
  <c r="R31" i="10"/>
  <c r="T15" i="10"/>
  <c r="S16" i="10"/>
  <c r="S72" i="10"/>
  <c r="R73" i="10"/>
  <c r="T36" i="10"/>
  <c r="S37" i="10"/>
  <c r="S66" i="10"/>
  <c r="R67" i="10"/>
  <c r="S75" i="10"/>
  <c r="R76" i="10"/>
  <c r="Q84" i="10"/>
  <c r="P85" i="10"/>
  <c r="T21" i="10"/>
  <c r="S22" i="10"/>
  <c r="S27" i="10"/>
  <c r="R28" i="10"/>
  <c r="S69" i="10"/>
  <c r="R70" i="10"/>
  <c r="R45" i="10" l="1"/>
  <c r="Q46" i="10"/>
  <c r="R42" i="10"/>
  <c r="Q43" i="10"/>
  <c r="P57" i="10"/>
  <c r="O58" i="10"/>
  <c r="P60" i="10"/>
  <c r="O61" i="10"/>
  <c r="P54" i="10"/>
  <c r="O55" i="10"/>
  <c r="R51" i="10"/>
  <c r="Q52" i="10"/>
  <c r="S70" i="10"/>
  <c r="T69" i="10"/>
  <c r="S28" i="10"/>
  <c r="T27" i="10"/>
  <c r="T22" i="10"/>
  <c r="U21" i="10"/>
  <c r="Q85" i="10"/>
  <c r="R84" i="10"/>
  <c r="T75" i="10"/>
  <c r="S76" i="10"/>
  <c r="T66" i="10"/>
  <c r="S67" i="10"/>
  <c r="U36" i="10"/>
  <c r="T37" i="10"/>
  <c r="T72" i="10"/>
  <c r="S73" i="10"/>
  <c r="U15" i="10"/>
  <c r="T16" i="10"/>
  <c r="T30" i="10"/>
  <c r="S31" i="10"/>
  <c r="V96" i="10"/>
  <c r="U97" i="10"/>
  <c r="R99" i="10"/>
  <c r="Q100" i="10"/>
  <c r="T90" i="10"/>
  <c r="S91" i="10"/>
  <c r="T39" i="10"/>
  <c r="S40" i="10"/>
  <c r="S24" i="10"/>
  <c r="R25" i="10"/>
  <c r="T102" i="10"/>
  <c r="S103" i="10"/>
  <c r="T105" i="10"/>
  <c r="S106" i="10"/>
  <c r="T87" i="10"/>
  <c r="S88" i="10"/>
  <c r="U81" i="10"/>
  <c r="T82" i="10"/>
  <c r="T9" i="10"/>
  <c r="S10" i="10"/>
  <c r="U6" i="10"/>
  <c r="T7" i="10"/>
  <c r="S45" i="10" l="1"/>
  <c r="R46" i="10"/>
  <c r="S42" i="10"/>
  <c r="R43" i="10"/>
  <c r="S51" i="10"/>
  <c r="R52" i="10"/>
  <c r="Q54" i="10"/>
  <c r="P55" i="10"/>
  <c r="Q60" i="10"/>
  <c r="P61" i="10"/>
  <c r="Q57" i="10"/>
  <c r="P58" i="10"/>
  <c r="U7" i="10"/>
  <c r="V6" i="10"/>
  <c r="T10" i="10"/>
  <c r="U9" i="10"/>
  <c r="U82" i="10"/>
  <c r="V81" i="10"/>
  <c r="T88" i="10"/>
  <c r="U87" i="10"/>
  <c r="T106" i="10"/>
  <c r="U105" i="10"/>
  <c r="T103" i="10"/>
  <c r="U102" i="10"/>
  <c r="S25" i="10"/>
  <c r="T24" i="10"/>
  <c r="T40" i="10"/>
  <c r="U39" i="10"/>
  <c r="T91" i="10"/>
  <c r="U90" i="10"/>
  <c r="R100" i="10"/>
  <c r="S99" i="10"/>
  <c r="V97" i="10"/>
  <c r="W96" i="10"/>
  <c r="U30" i="10"/>
  <c r="T31" i="10"/>
  <c r="V15" i="10"/>
  <c r="U16" i="10"/>
  <c r="U72" i="10"/>
  <c r="T73" i="10"/>
  <c r="V36" i="10"/>
  <c r="U37" i="10"/>
  <c r="U66" i="10"/>
  <c r="T67" i="10"/>
  <c r="U75" i="10"/>
  <c r="T76" i="10"/>
  <c r="S84" i="10"/>
  <c r="R85" i="10"/>
  <c r="V21" i="10"/>
  <c r="U22" i="10"/>
  <c r="U27" i="10"/>
  <c r="T28" i="10"/>
  <c r="U69" i="10"/>
  <c r="T70" i="10"/>
  <c r="T45" i="10" l="1"/>
  <c r="S46" i="10"/>
  <c r="T42" i="10"/>
  <c r="S43" i="10"/>
  <c r="R57" i="10"/>
  <c r="Q58" i="10"/>
  <c r="R60" i="10"/>
  <c r="Q61" i="10"/>
  <c r="R54" i="10"/>
  <c r="Q55" i="10"/>
  <c r="T51" i="10"/>
  <c r="S52" i="10"/>
  <c r="U70" i="10"/>
  <c r="V69" i="10"/>
  <c r="U28" i="10"/>
  <c r="V27" i="10"/>
  <c r="V22" i="10"/>
  <c r="W21" i="10"/>
  <c r="S85" i="10"/>
  <c r="T84" i="10"/>
  <c r="V75" i="10"/>
  <c r="U76" i="10"/>
  <c r="V66" i="10"/>
  <c r="U67" i="10"/>
  <c r="W36" i="10"/>
  <c r="V37" i="10"/>
  <c r="V72" i="10"/>
  <c r="U73" i="10"/>
  <c r="W15" i="10"/>
  <c r="V16" i="10"/>
  <c r="V30" i="10"/>
  <c r="U31" i="10"/>
  <c r="X96" i="10"/>
  <c r="W97" i="10"/>
  <c r="T99" i="10"/>
  <c r="S100" i="10"/>
  <c r="V90" i="10"/>
  <c r="U91" i="10"/>
  <c r="V39" i="10"/>
  <c r="U40" i="10"/>
  <c r="U24" i="10"/>
  <c r="T25" i="10"/>
  <c r="V102" i="10"/>
  <c r="U103" i="10"/>
  <c r="V105" i="10"/>
  <c r="U106" i="10"/>
  <c r="V87" i="10"/>
  <c r="U88" i="10"/>
  <c r="W81" i="10"/>
  <c r="V82" i="10"/>
  <c r="V9" i="10"/>
  <c r="U10" i="10"/>
  <c r="W6" i="10"/>
  <c r="V7" i="10"/>
  <c r="U45" i="10" l="1"/>
  <c r="T46" i="10"/>
  <c r="U42" i="10"/>
  <c r="T43" i="10"/>
  <c r="U51" i="10"/>
  <c r="T52" i="10"/>
  <c r="S54" i="10"/>
  <c r="R55" i="10"/>
  <c r="S60" i="10"/>
  <c r="R61" i="10"/>
  <c r="S57" i="10"/>
  <c r="R58" i="10"/>
  <c r="W7" i="10"/>
  <c r="X6" i="10"/>
  <c r="V10" i="10"/>
  <c r="W9" i="10"/>
  <c r="W82" i="10"/>
  <c r="X81" i="10"/>
  <c r="V88" i="10"/>
  <c r="W87" i="10"/>
  <c r="V106" i="10"/>
  <c r="W105" i="10"/>
  <c r="V103" i="10"/>
  <c r="W102" i="10"/>
  <c r="U25" i="10"/>
  <c r="V24" i="10"/>
  <c r="V40" i="10"/>
  <c r="W39" i="10"/>
  <c r="V91" i="10"/>
  <c r="W90" i="10"/>
  <c r="T100" i="10"/>
  <c r="U99" i="10"/>
  <c r="X97" i="10"/>
  <c r="Y96" i="10"/>
  <c r="W30" i="10"/>
  <c r="V31" i="10"/>
  <c r="X15" i="10"/>
  <c r="W16" i="10"/>
  <c r="W72" i="10"/>
  <c r="V73" i="10"/>
  <c r="X36" i="10"/>
  <c r="W37" i="10"/>
  <c r="W66" i="10"/>
  <c r="V67" i="10"/>
  <c r="W75" i="10"/>
  <c r="V76" i="10"/>
  <c r="U84" i="10"/>
  <c r="T85" i="10"/>
  <c r="X21" i="10"/>
  <c r="W22" i="10"/>
  <c r="W27" i="10"/>
  <c r="V28" i="10"/>
  <c r="W69" i="10"/>
  <c r="V70" i="10"/>
  <c r="V45" i="10" l="1"/>
  <c r="U46" i="10"/>
  <c r="V42" i="10"/>
  <c r="U43" i="10"/>
  <c r="T57" i="10"/>
  <c r="S58" i="10"/>
  <c r="T60" i="10"/>
  <c r="S61" i="10"/>
  <c r="T54" i="10"/>
  <c r="S55" i="10"/>
  <c r="V51" i="10"/>
  <c r="U52" i="10"/>
  <c r="W70" i="10"/>
  <c r="X69" i="10"/>
  <c r="W28" i="10"/>
  <c r="X27" i="10"/>
  <c r="X22" i="10"/>
  <c r="Y21" i="10"/>
  <c r="U85" i="10"/>
  <c r="V84" i="10"/>
  <c r="X75" i="10"/>
  <c r="W76" i="10"/>
  <c r="X66" i="10"/>
  <c r="W67" i="10"/>
  <c r="Y36" i="10"/>
  <c r="X37" i="10"/>
  <c r="X72" i="10"/>
  <c r="W73" i="10"/>
  <c r="Y15" i="10"/>
  <c r="X16" i="10"/>
  <c r="X30" i="10"/>
  <c r="W31" i="10"/>
  <c r="Z96" i="10"/>
  <c r="Y97" i="10"/>
  <c r="V99" i="10"/>
  <c r="U100" i="10"/>
  <c r="X90" i="10"/>
  <c r="W91" i="10"/>
  <c r="X39" i="10"/>
  <c r="W40" i="10"/>
  <c r="W24" i="10"/>
  <c r="V25" i="10"/>
  <c r="X102" i="10"/>
  <c r="W103" i="10"/>
  <c r="X105" i="10"/>
  <c r="W106" i="10"/>
  <c r="X87" i="10"/>
  <c r="W88" i="10"/>
  <c r="Y81" i="10"/>
  <c r="X82" i="10"/>
  <c r="X9" i="10"/>
  <c r="W10" i="10"/>
  <c r="Y6" i="10"/>
  <c r="X7" i="10"/>
  <c r="W45" i="10" l="1"/>
  <c r="V46" i="10"/>
  <c r="W42" i="10"/>
  <c r="V43" i="10"/>
  <c r="W51" i="10"/>
  <c r="V52" i="10"/>
  <c r="U54" i="10"/>
  <c r="T55" i="10"/>
  <c r="U60" i="10"/>
  <c r="T61" i="10"/>
  <c r="U57" i="10"/>
  <c r="T58" i="10"/>
  <c r="Y7" i="10"/>
  <c r="Z6" i="10"/>
  <c r="X10" i="10"/>
  <c r="Y9" i="10"/>
  <c r="Y82" i="10"/>
  <c r="Z81" i="10"/>
  <c r="X88" i="10"/>
  <c r="Y87" i="10"/>
  <c r="X106" i="10"/>
  <c r="Y105" i="10"/>
  <c r="X103" i="10"/>
  <c r="Y102" i="10"/>
  <c r="W25" i="10"/>
  <c r="X24" i="10"/>
  <c r="X40" i="10"/>
  <c r="Y39" i="10"/>
  <c r="X91" i="10"/>
  <c r="Y90" i="10"/>
  <c r="V100" i="10"/>
  <c r="W99" i="10"/>
  <c r="Z97" i="10"/>
  <c r="AA96" i="10"/>
  <c r="Y30" i="10"/>
  <c r="X31" i="10"/>
  <c r="Z15" i="10"/>
  <c r="Y16" i="10"/>
  <c r="Y72" i="10"/>
  <c r="X73" i="10"/>
  <c r="Z36" i="10"/>
  <c r="Y37" i="10"/>
  <c r="Y66" i="10"/>
  <c r="X67" i="10"/>
  <c r="Y75" i="10"/>
  <c r="X76" i="10"/>
  <c r="W84" i="10"/>
  <c r="V85" i="10"/>
  <c r="Z21" i="10"/>
  <c r="Y22" i="10"/>
  <c r="Y27" i="10"/>
  <c r="X28" i="10"/>
  <c r="Y69" i="10"/>
  <c r="X70" i="10"/>
  <c r="X45" i="10" l="1"/>
  <c r="W46" i="10"/>
  <c r="X42" i="10"/>
  <c r="W43" i="10"/>
  <c r="V57" i="10"/>
  <c r="U58" i="10"/>
  <c r="V60" i="10"/>
  <c r="U61" i="10"/>
  <c r="V54" i="10"/>
  <c r="U55" i="10"/>
  <c r="X51" i="10"/>
  <c r="W52" i="10"/>
  <c r="Y70" i="10"/>
  <c r="Z69" i="10"/>
  <c r="Y28" i="10"/>
  <c r="Z27" i="10"/>
  <c r="Z22" i="10"/>
  <c r="AA21" i="10"/>
  <c r="W85" i="10"/>
  <c r="X84" i="10"/>
  <c r="Z75" i="10"/>
  <c r="Y76" i="10"/>
  <c r="Z66" i="10"/>
  <c r="Y67" i="10"/>
  <c r="AA36" i="10"/>
  <c r="Z37" i="10"/>
  <c r="Z72" i="10"/>
  <c r="Y73" i="10"/>
  <c r="AA15" i="10"/>
  <c r="Z16" i="10"/>
  <c r="Z30" i="10"/>
  <c r="Y31" i="10"/>
  <c r="AB96" i="10"/>
  <c r="AA97" i="10"/>
  <c r="X99" i="10"/>
  <c r="W100" i="10"/>
  <c r="Z90" i="10"/>
  <c r="Y91" i="10"/>
  <c r="Z39" i="10"/>
  <c r="Y40" i="10"/>
  <c r="Y24" i="10"/>
  <c r="X25" i="10"/>
  <c r="Z102" i="10"/>
  <c r="Y103" i="10"/>
  <c r="Z105" i="10"/>
  <c r="Y106" i="10"/>
  <c r="Z87" i="10"/>
  <c r="Y88" i="10"/>
  <c r="AA81" i="10"/>
  <c r="Z82" i="10"/>
  <c r="Z9" i="10"/>
  <c r="Y10" i="10"/>
  <c r="AA6" i="10"/>
  <c r="Z7" i="10"/>
  <c r="Y45" i="10" l="1"/>
  <c r="X46" i="10"/>
  <c r="Y42" i="10"/>
  <c r="X43" i="10"/>
  <c r="Y51" i="10"/>
  <c r="X52" i="10"/>
  <c r="W54" i="10"/>
  <c r="V55" i="10"/>
  <c r="W60" i="10"/>
  <c r="V61" i="10"/>
  <c r="W57" i="10"/>
  <c r="V58" i="10"/>
  <c r="AA7" i="10"/>
  <c r="AB6" i="10"/>
  <c r="Z10" i="10"/>
  <c r="AA9" i="10"/>
  <c r="AA82" i="10"/>
  <c r="AB81" i="10"/>
  <c r="Z88" i="10"/>
  <c r="AA87" i="10"/>
  <c r="Z106" i="10"/>
  <c r="AA105" i="10"/>
  <c r="Z103" i="10"/>
  <c r="AA102" i="10"/>
  <c r="Y25" i="10"/>
  <c r="Z24" i="10"/>
  <c r="AA39" i="10"/>
  <c r="Z40" i="10"/>
  <c r="Z91" i="10"/>
  <c r="AA90" i="10"/>
  <c r="X100" i="10"/>
  <c r="Y99" i="10"/>
  <c r="AB97" i="10"/>
  <c r="AC96" i="10"/>
  <c r="AA30" i="10"/>
  <c r="Z31" i="10"/>
  <c r="AB15" i="10"/>
  <c r="AA16" i="10"/>
  <c r="AA72" i="10"/>
  <c r="Z73" i="10"/>
  <c r="AB36" i="10"/>
  <c r="AA37" i="10"/>
  <c r="AA66" i="10"/>
  <c r="Z67" i="10"/>
  <c r="AA75" i="10"/>
  <c r="Z76" i="10"/>
  <c r="Y84" i="10"/>
  <c r="X85" i="10"/>
  <c r="AB21" i="10"/>
  <c r="AA22" i="10"/>
  <c r="AA27" i="10"/>
  <c r="Z28" i="10"/>
  <c r="AA69" i="10"/>
  <c r="Z70" i="10"/>
  <c r="Z45" i="10" l="1"/>
  <c r="Y46" i="10"/>
  <c r="Z42" i="10"/>
  <c r="Y43" i="10"/>
  <c r="X57" i="10"/>
  <c r="W58" i="10"/>
  <c r="X60" i="10"/>
  <c r="W61" i="10"/>
  <c r="X54" i="10"/>
  <c r="W55" i="10"/>
  <c r="Z51" i="10"/>
  <c r="Y52" i="10"/>
  <c r="AA70" i="10"/>
  <c r="AB69" i="10"/>
  <c r="AA28" i="10"/>
  <c r="AB27" i="10"/>
  <c r="AB22" i="10"/>
  <c r="AC21" i="10"/>
  <c r="Y85" i="10"/>
  <c r="Z84" i="10"/>
  <c r="AB75" i="10"/>
  <c r="AA76" i="10"/>
  <c r="AB66" i="10"/>
  <c r="AA67" i="10"/>
  <c r="AC36" i="10"/>
  <c r="AB37" i="10"/>
  <c r="AB72" i="10"/>
  <c r="AA73" i="10"/>
  <c r="AC15" i="10"/>
  <c r="AB16" i="10"/>
  <c r="AB30" i="10"/>
  <c r="AA31" i="10"/>
  <c r="AB39" i="10"/>
  <c r="AA40" i="10"/>
  <c r="AD96" i="10"/>
  <c r="AC97" i="10"/>
  <c r="Z99" i="10"/>
  <c r="Y100" i="10"/>
  <c r="AB90" i="10"/>
  <c r="AA91" i="10"/>
  <c r="AA24" i="10"/>
  <c r="Z25" i="10"/>
  <c r="AB102" i="10"/>
  <c r="AA103" i="10"/>
  <c r="AB105" i="10"/>
  <c r="AA106" i="10"/>
  <c r="AB87" i="10"/>
  <c r="AA88" i="10"/>
  <c r="AC81" i="10"/>
  <c r="AB82" i="10"/>
  <c r="AB9" i="10"/>
  <c r="AA10" i="10"/>
  <c r="AC6" i="10"/>
  <c r="AB7" i="10"/>
  <c r="AA45" i="10" l="1"/>
  <c r="Z46" i="10"/>
  <c r="AA42" i="10"/>
  <c r="Z43" i="10"/>
  <c r="AA51" i="10"/>
  <c r="Z52" i="10"/>
  <c r="Y54" i="10"/>
  <c r="X55" i="10"/>
  <c r="Y60" i="10"/>
  <c r="X61" i="10"/>
  <c r="Y57" i="10"/>
  <c r="X58" i="10"/>
  <c r="AC7" i="10"/>
  <c r="AD6" i="10"/>
  <c r="AB10" i="10"/>
  <c r="AC9" i="10"/>
  <c r="AC82" i="10"/>
  <c r="AD81" i="10"/>
  <c r="AB88" i="10"/>
  <c r="AC87" i="10"/>
  <c r="AB106" i="10"/>
  <c r="AC105" i="10"/>
  <c r="AB103" i="10"/>
  <c r="AC102" i="10"/>
  <c r="AA25" i="10"/>
  <c r="AB24" i="10"/>
  <c r="AB91" i="10"/>
  <c r="AC90" i="10"/>
  <c r="Z100" i="10"/>
  <c r="AA99" i="10"/>
  <c r="AD97" i="10"/>
  <c r="AE96" i="10"/>
  <c r="AC39" i="10"/>
  <c r="AB40" i="10"/>
  <c r="AC30" i="10"/>
  <c r="AB31" i="10"/>
  <c r="AD15" i="10"/>
  <c r="AC16" i="10"/>
  <c r="AC72" i="10"/>
  <c r="AB73" i="10"/>
  <c r="AD36" i="10"/>
  <c r="AC37" i="10"/>
  <c r="AC66" i="10"/>
  <c r="AB67" i="10"/>
  <c r="AC75" i="10"/>
  <c r="AB76" i="10"/>
  <c r="AA84" i="10"/>
  <c r="Z85" i="10"/>
  <c r="AD21" i="10"/>
  <c r="AC22" i="10"/>
  <c r="AC27" i="10"/>
  <c r="AB28" i="10"/>
  <c r="AC69" i="10"/>
  <c r="AB70" i="10"/>
  <c r="AB45" i="10" l="1"/>
  <c r="AA46" i="10"/>
  <c r="AB42" i="10"/>
  <c r="AA43" i="10"/>
  <c r="Z57" i="10"/>
  <c r="Y58" i="10"/>
  <c r="Z60" i="10"/>
  <c r="Y61" i="10"/>
  <c r="Z54" i="10"/>
  <c r="Y55" i="10"/>
  <c r="AB51" i="10"/>
  <c r="AA52" i="10"/>
  <c r="AC70" i="10"/>
  <c r="AD69" i="10"/>
  <c r="AC28" i="10"/>
  <c r="AD27" i="10"/>
  <c r="AD22" i="10"/>
  <c r="AE21" i="10"/>
  <c r="AA85" i="10"/>
  <c r="AB84" i="10"/>
  <c r="AD75" i="10"/>
  <c r="AC76" i="10"/>
  <c r="AD66" i="10"/>
  <c r="AC67" i="10"/>
  <c r="AE36" i="10"/>
  <c r="AD37" i="10"/>
  <c r="AD72" i="10"/>
  <c r="AC73" i="10"/>
  <c r="AE15" i="10"/>
  <c r="AD16" i="10"/>
  <c r="AD30" i="10"/>
  <c r="AC31" i="10"/>
  <c r="AD39" i="10"/>
  <c r="AC40" i="10"/>
  <c r="AE97" i="10"/>
  <c r="AB99" i="10"/>
  <c r="AA100" i="10"/>
  <c r="AD90" i="10"/>
  <c r="AC91" i="10"/>
  <c r="AC24" i="10"/>
  <c r="AB25" i="10"/>
  <c r="AD102" i="10"/>
  <c r="AC103" i="10"/>
  <c r="AD105" i="10"/>
  <c r="AC106" i="10"/>
  <c r="AD87" i="10"/>
  <c r="AC88" i="10"/>
  <c r="AE81" i="10"/>
  <c r="AD82" i="10"/>
  <c r="AD9" i="10"/>
  <c r="AC10" i="10"/>
  <c r="AE6" i="10"/>
  <c r="AD7" i="10"/>
  <c r="AC45" i="10" l="1"/>
  <c r="AB46" i="10"/>
  <c r="AC42" i="10"/>
  <c r="AB43" i="10"/>
  <c r="AE16" i="10"/>
  <c r="AE37" i="10"/>
  <c r="AC51" i="10"/>
  <c r="AB52" i="10"/>
  <c r="AA54" i="10"/>
  <c r="Z55" i="10"/>
  <c r="AA60" i="10"/>
  <c r="Z61" i="10"/>
  <c r="AA57" i="10"/>
  <c r="Z58" i="10"/>
  <c r="AE39" i="10"/>
  <c r="AD40" i="10"/>
  <c r="AE30" i="10"/>
  <c r="AD31" i="10"/>
  <c r="AE72" i="10"/>
  <c r="AD73" i="10"/>
  <c r="AE66" i="10"/>
  <c r="AD67" i="10"/>
  <c r="AE75" i="10"/>
  <c r="AD76" i="10"/>
  <c r="AE7" i="10"/>
  <c r="AD10" i="10"/>
  <c r="AE9" i="10"/>
  <c r="AE82" i="10"/>
  <c r="AD88" i="10"/>
  <c r="AE87" i="10"/>
  <c r="AD106" i="10"/>
  <c r="AE105" i="10"/>
  <c r="AD103" i="10"/>
  <c r="AE102" i="10"/>
  <c r="AC25" i="10"/>
  <c r="AD24" i="10"/>
  <c r="AD91" i="10"/>
  <c r="AE90" i="10"/>
  <c r="AB100" i="10"/>
  <c r="AC99" i="10"/>
  <c r="AC84" i="10"/>
  <c r="AB85" i="10"/>
  <c r="AE22" i="10"/>
  <c r="AE27" i="10"/>
  <c r="AD28" i="10"/>
  <c r="AE69" i="10"/>
  <c r="AD70" i="10"/>
  <c r="AD45" i="10" l="1"/>
  <c r="AC46" i="10"/>
  <c r="AE10" i="10"/>
  <c r="AD42" i="10"/>
  <c r="AC43" i="10"/>
  <c r="AE76" i="10"/>
  <c r="AE67" i="10"/>
  <c r="AE73" i="10"/>
  <c r="AE31" i="10"/>
  <c r="AE40" i="10"/>
  <c r="AB57" i="10"/>
  <c r="AA58" i="10"/>
  <c r="AB60" i="10"/>
  <c r="AA61" i="10"/>
  <c r="AB54" i="10"/>
  <c r="AA55" i="10"/>
  <c r="AD51" i="10"/>
  <c r="AC52" i="10"/>
  <c r="AC85" i="10"/>
  <c r="AD84" i="10"/>
  <c r="AE70" i="10"/>
  <c r="E13" i="8" s="1"/>
  <c r="AE28" i="10"/>
  <c r="AD99" i="10"/>
  <c r="AC100" i="10"/>
  <c r="AE91" i="10"/>
  <c r="AE24" i="10"/>
  <c r="AD25" i="10"/>
  <c r="AE103" i="10"/>
  <c r="AE106" i="10"/>
  <c r="AE88" i="10"/>
  <c r="AE45" i="10" l="1"/>
  <c r="AD46" i="10"/>
  <c r="F25" i="11"/>
  <c r="E12" i="8"/>
  <c r="E13" i="11"/>
  <c r="E13" i="12"/>
  <c r="AE42" i="10"/>
  <c r="AD43" i="10"/>
  <c r="E12" i="11"/>
  <c r="F27" i="8"/>
  <c r="AE25" i="10"/>
  <c r="E9" i="8" s="1"/>
  <c r="AE51" i="10"/>
  <c r="AD52" i="10"/>
  <c r="AC54" i="10"/>
  <c r="AB55" i="10"/>
  <c r="AC60" i="10"/>
  <c r="AB61" i="10"/>
  <c r="AC57" i="10"/>
  <c r="AB58" i="10"/>
  <c r="AD100" i="10"/>
  <c r="AE99" i="10"/>
  <c r="F23" i="12"/>
  <c r="F23" i="11"/>
  <c r="F25" i="8"/>
  <c r="AE84" i="10"/>
  <c r="AD85" i="10"/>
  <c r="AE46" i="10" l="1"/>
  <c r="AE43" i="10"/>
  <c r="AE100" i="10"/>
  <c r="E9" i="11"/>
  <c r="E9" i="12"/>
  <c r="AD57" i="10"/>
  <c r="AC58" i="10"/>
  <c r="AD60" i="10"/>
  <c r="AC61" i="10"/>
  <c r="AD54" i="10"/>
  <c r="AC55" i="10"/>
  <c r="AE52" i="10"/>
  <c r="AE85" i="10"/>
  <c r="E14" i="11" l="1"/>
  <c r="E15" i="11" s="1"/>
  <c r="E16" i="11" s="1"/>
  <c r="E14" i="8"/>
  <c r="E15" i="8" s="1"/>
  <c r="E17" i="8" s="1"/>
  <c r="F24" i="12"/>
  <c r="E12" i="12"/>
  <c r="AE54" i="10"/>
  <c r="AD55" i="10"/>
  <c r="AE60" i="10"/>
  <c r="AD61" i="10"/>
  <c r="AE57" i="10"/>
  <c r="AD58" i="10"/>
  <c r="F24" i="11"/>
  <c r="F26" i="11" s="1"/>
  <c r="F28" i="11" s="1"/>
  <c r="F26" i="8"/>
  <c r="F28" i="8" s="1"/>
  <c r="F30" i="8" s="1"/>
  <c r="E14" i="12" l="1"/>
  <c r="E16" i="12" s="1"/>
  <c r="F25" i="12"/>
  <c r="F27" i="12" s="1"/>
  <c r="AE58" i="10"/>
  <c r="AE61" i="10"/>
  <c r="AE55" i="10"/>
  <c r="F30" i="11"/>
  <c r="F29" i="11"/>
  <c r="F31" i="8"/>
  <c r="F32" i="8"/>
  <c r="F29" i="12" l="1"/>
  <c r="F28" i="12"/>
</calcChain>
</file>

<file path=xl/comments1.xml><?xml version="1.0" encoding="utf-8"?>
<comments xmlns="http://schemas.openxmlformats.org/spreadsheetml/2006/main">
  <authors>
    <author>Windows User</author>
  </authors>
  <commentList>
    <comment ref="B66" author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Difference between Sum App (SSI, SSDI, TANF, GEN ASSIST) and only closures that has $0.00 Closure Sum (SSI, SSDI, TANF, GEN ASSIST) multiply by 12 months</t>
        </r>
      </text>
    </comment>
  </commentList>
</comments>
</file>

<file path=xl/comments2.xml><?xml version="1.0" encoding="utf-8"?>
<comments xmlns="http://schemas.openxmlformats.org/spreadsheetml/2006/main">
  <authors>
    <author>dvrs_s1</author>
  </authors>
  <commentList>
    <comment ref="B23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Difference of Total Dollars between of cases that had APP SSI, APPSSDI, APTANF, APGA and at Closure had $0.00 for CL SSI, CLSSDI, SLTANF, CLGA: This workbook in sheet "Public Support not primary supp" filter Total App Support &gt; $0 and Total CL Support = $0 multiply by 12 months</t>
        </r>
      </text>
    </comment>
    <comment ref="B40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All 26-0 Closure status' 
</t>
        </r>
      </text>
    </comment>
    <comment ref="C40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 Joe McGarr file "FFY09 FSR updated thru 10/31/09" Certified for Use YTD
</t>
        </r>
      </text>
    </comment>
    <comment ref="C41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26 Closures Closure Annual Wages minus Application Annual Wages. "Investing in Iowans/Data FFY2008 &amp; FFY2007 earnings of 26 closures.xls"</t>
        </r>
      </text>
    </comment>
    <comment ref="C49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26 Closures Closure Annual Wages minus Application Annual Wages. "Investing in Iowans/Data FFY2008 &amp; FFY2007 earnings of 26 closures.xls"</t>
        </r>
      </text>
    </comment>
    <comment ref="D49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26 Closures Closure Annual Wages minus Application Annual Wages. "Investing in Iowans/Data FFY2008 &amp; FFY2007 earnings of 26 closures.xls"</t>
        </r>
      </text>
    </comment>
    <comment ref="B51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Count of cases that had APP SSI, APPSSDI, APTANF, APGA and at Closure had $0.00 for CL SSI, CLSSDI, SLTANF, CLGA: This workbook in sheet "Public Support not primary supp" filter Total App Support" &gt; $0 and Total CL Support = $0
</t>
        </r>
      </text>
    </comment>
    <comment ref="C51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Difference of Total Dollars between of cases that had APP SSI, APPSSDI, APTANF, APGA and at Closure had $0.00 for CL SSI, CLSSDI, SLTANF, CLGA: This workbook in sheet "Public Support not primary supp" filter Total App Support &gt; $0 and Total CL Support = $0</t>
        </r>
      </text>
    </comment>
    <comment ref="B52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Count of cases that had APVETBEN, APWorkComp, APOther and at Closure had $0.00 for CL VetBen, CLWorkComp, CLOther, : this workbook sheet "2008 Other Support" filter columns Total APP Support &gt; $0 Total CL Support = $0</t>
        </r>
      </text>
    </comment>
    <comment ref="C52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Difference of Dollars of cases that had APVETBEN, APWorkComp, APOther and at Closure had $0.00 for CL VetBen, CLWorkComp, CLOther, : this workbook sheet "2008 Other Support" filter columns Total APP Support &gt; $0 Total CL Support = $0</t>
        </r>
      </text>
    </comment>
  </commentList>
</comments>
</file>

<file path=xl/comments3.xml><?xml version="1.0" encoding="utf-8"?>
<comments xmlns="http://schemas.openxmlformats.org/spreadsheetml/2006/main">
  <authors>
    <author>dvrs_s1</author>
  </authors>
  <commentList>
    <comment ref="B23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Difference of Total Dollars between of cases that had APP SSI, APPSSDI, APTANF, APGA and at Closure had $0.00 for CL SSI, CLSSDI, SLTANF, CLGA: This workbook in sheet "Public Support not primary supp" filter Total App Support &gt; $0 and Total CL Support = $0 multiply by 12 months</t>
        </r>
      </text>
    </comment>
    <comment ref="B39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All Closure status' except for 08
</t>
        </r>
      </text>
    </comment>
    <comment ref="C39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 Joe McGarr file "FFY09 FSR updated thru 10/31/09" State Appropriation 
</t>
        </r>
      </text>
    </comment>
    <comment ref="F39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Admin costs over total closed clients of 7,681 for ffy2008
</t>
        </r>
      </text>
    </comment>
    <comment ref="C40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26 Closures Closure Annual Wages minus Application Annual Wages. "Investing in Iowans/Data FFY2008 &amp; FFY2007 earnings of 26 closures.xls"</t>
        </r>
      </text>
    </comment>
    <comment ref="C48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26 Closures Closure Annual Wages minus Application Annual Wages. "Investing in Iowans/Data FFY2008 &amp; FFY2007 earnings of 26 closures.xls"</t>
        </r>
      </text>
    </comment>
    <comment ref="D48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26 Closures Closure Annual Wages minus Application Annual Wages. "Investing in Iowans/Data FFY2008 &amp; FFY2007 earnings of 26 closures.xls"</t>
        </r>
      </text>
    </comment>
    <comment ref="B50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Count of cases that had APP SSI, APPSSDI, APTANF, APGA and at Closure had $0.00 for CL SSI, CLSSDI, SLTANF, CLGA: This workbook in sheet "Public Support not primary supp" filter Total App Support" &gt; $0 and Total CL Support = $0
</t>
        </r>
      </text>
    </comment>
    <comment ref="C50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Difference of Total Dollars between of cases that had APP SSI, APPSSDI, APTANF, APGA and at Closure had $0.00 for CL SSI, CLSSDI, SLTANF, CLGA: This workbook in sheet "Public Support not primary supp" filter Total App Support &gt; $0 and Total CL Support = $0</t>
        </r>
      </text>
    </comment>
    <comment ref="B51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Count of cases that had APVETBEN, APWorkComp, APOther and at Closure had $0.00 for CL VetBen, CLWorkComp, CLOther, : this workbook sheet "2008 Other Support" filter columns Total APP Support &gt; $0 Total CL Support = $0</t>
        </r>
      </text>
    </comment>
    <comment ref="C51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Difference of Dollars of cases that had APVETBEN, APWorkComp, APOther and at Closure had $0.00 for CL VetBen, CLWorkComp, CLOther, : this workbook sheet "2008 Other Support" filter columns Total APP Support &gt; $0 Total CL Support = $0</t>
        </r>
      </text>
    </comment>
  </commentList>
</comments>
</file>

<file path=xl/comments4.xml><?xml version="1.0" encoding="utf-8"?>
<comments xmlns="http://schemas.openxmlformats.org/spreadsheetml/2006/main">
  <authors>
    <author>dvrs_s1</author>
  </authors>
  <commentList>
    <comment ref="B25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Difference of Total Dollars between of cases that had APP SSI, APPSSDI, APTANF, APGA and at Closure had $0.00 for CL SSI, CLSSDI, SLTANF, CLGA: This workbook in sheet "Public Support not primary supp" filter Total App Support &gt; $0 and Total CL Support = $0 multiply by 12 months</t>
        </r>
      </text>
    </comment>
    <comment ref="C37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SQL Query "Closed Cases Total Expenses Purchased' need to change status' in two places.</t>
        </r>
      </text>
    </comment>
    <comment ref="C38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dvrs_s1:
SQL Query "Closed Cases Total Expenses Purchased' need to change status' in two places.</t>
        </r>
      </text>
    </comment>
    <comment ref="C39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dvrs_s1:
SQL Query "Closed Cases Total Expenses Purchased' need to change status' in two places.</t>
        </r>
      </text>
    </comment>
    <comment ref="C40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dvrs_s1:
SQL Query "Closed Cases Total Expenses Purchased' need to change status' in two places.</t>
        </r>
      </text>
    </comment>
    <comment ref="C41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dvrs_s1:
SQL Query "Closed Cases Total Expenses Purchased' need to change status' in two places.</t>
        </r>
      </text>
    </comment>
    <comment ref="B42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Total of clients from RSA113 for ffy2009
A3+A10+A15+B3+C3+D8
</t>
        </r>
      </text>
    </comment>
    <comment ref="C42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 Joe McGarr file "FFY09 FSR updated thru 10/31/09" ASB and RSB  Expenses</t>
        </r>
      </text>
    </comment>
    <comment ref="F43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Joe McGarr "FFY2009 FSR updated 10/31/2009" Total Program Expense
</t>
        </r>
      </text>
    </comment>
    <comment ref="C45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26 Closures Closure Annual Wages minus Application Annual Wages. "Investing in Iowans/Data FFY2009 earnings of 26 closures.xls"</t>
        </r>
      </text>
    </comment>
    <comment ref="C53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26 Closures Closure Annual Wages minus Application Annual Wages. "Investing in Iowans/Data FFY2009  earnings of 26 closures.xls"</t>
        </r>
      </text>
    </comment>
    <comment ref="D53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26 Closures Closure Annual Wages minus Application Annual Wages. "Investing in Iowans/Data FFY2009 earnings of 26 closures.xls"</t>
        </r>
      </text>
    </comment>
    <comment ref="B55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Count of cases that had APP SSI, APPSSDI, APTANF, APGA and at Closure had $0.00 for CL SSI, CLSSDI, SLTANF, CLGA: This workbook in sheet "Public Support not primary supp" filter Total App Support" &gt; $0 and Total CL Support = $0
</t>
        </r>
      </text>
    </comment>
    <comment ref="C55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Difference of Total Dollars between of cases that had APP SSI, APPSSDI, APTANF, APGA and at Closure had $0.00 for CL SSI, CLSSDI, SLTANF, CLGA: This workbook in sheet "Public Support not primary supp" filter Total App Support &gt; $0 and Total CL Support = $0</t>
        </r>
      </text>
    </comment>
    <comment ref="B56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Count of cases that had APVETBEN, APWorkComp, APOther and at Closure had $0.00 for CL VetBen, CLWorkComp, CLOther, : filter columns Total APP Support &gt; $0 Total CL Support = $0</t>
        </r>
      </text>
    </comment>
    <comment ref="C56" authorId="0">
      <text>
        <r>
          <rPr>
            <b/>
            <sz val="8"/>
            <color indexed="81"/>
            <rFont val="Tahoma"/>
          </rPr>
          <t>dvrs_s1:</t>
        </r>
        <r>
          <rPr>
            <sz val="8"/>
            <color indexed="81"/>
            <rFont val="Tahoma"/>
          </rPr>
          <t xml:space="preserve">
Difference of Dollars of cases that had APVETBEN, APWorkComp, APOther and at Closure had $0.00 for CL VetBen, CLWorkComp, CLOther, : filter columns Total APP Support &gt; $0 Total CL Support = $0</t>
        </r>
      </text>
    </comment>
  </commentList>
</comments>
</file>

<file path=xl/sharedStrings.xml><?xml version="1.0" encoding="utf-8"?>
<sst xmlns="http://schemas.openxmlformats.org/spreadsheetml/2006/main" count="319" uniqueCount="199">
  <si>
    <t>Increased Earnings average per 26 closure</t>
  </si>
  <si>
    <t>Other Public Assistance (Veterans, Work Comp, Other)</t>
  </si>
  <si>
    <t>Reduction in other public assistance</t>
  </si>
  <si>
    <t>Benefit/Cost Ratio</t>
  </si>
  <si>
    <t>Federal and State of Iowa Cash Contribution Combined</t>
  </si>
  <si>
    <t>Total Cost of services</t>
  </si>
  <si>
    <t>Total Costs</t>
  </si>
  <si>
    <t>26 Closures</t>
  </si>
  <si>
    <t>Ave Cost per 26 closure</t>
  </si>
  <si>
    <t>Increased Earnings</t>
  </si>
  <si>
    <t>Increase in Tax Contributions</t>
  </si>
  <si>
    <t>Reduction in Public Assistance</t>
  </si>
  <si>
    <t>Total Benefits to Taxpayers</t>
  </si>
  <si>
    <t>Average Earnings</t>
  </si>
  <si>
    <t>FICA</t>
  </si>
  <si>
    <t>($20,146 to $26,860)</t>
  </si>
  <si>
    <t>Federal</t>
  </si>
  <si>
    <t>Total Tax Contributions</t>
  </si>
  <si>
    <t>Year 1</t>
  </si>
  <si>
    <t>Year 3</t>
  </si>
  <si>
    <t>Year 5</t>
  </si>
  <si>
    <t>Year 10</t>
  </si>
  <si>
    <t>Total Revenue and Savings</t>
  </si>
  <si>
    <t>Costs of Oucomes (26 Closures)</t>
  </si>
  <si>
    <t>Return on Investment per $100</t>
  </si>
  <si>
    <t>Return on Investment per Client</t>
  </si>
  <si>
    <t>Total Revenue/Savings minus Costs</t>
  </si>
  <si>
    <t xml:space="preserve">Discount Rate </t>
  </si>
  <si>
    <t>Discount Rate</t>
  </si>
  <si>
    <t>Year 2</t>
  </si>
  <si>
    <t>Year 4</t>
  </si>
  <si>
    <t>Year 6</t>
  </si>
  <si>
    <t>Year 7</t>
  </si>
  <si>
    <t>Year 8</t>
  </si>
  <si>
    <t>Year 9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</si>
  <si>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</si>
  <si>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</si>
  <si>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</si>
  <si>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</si>
  <si>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</si>
  <si>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</si>
  <si>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</si>
  <si>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</si>
  <si>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</si>
  <si>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</si>
  <si>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</si>
  <si>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</si>
  <si>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</si>
  <si>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</si>
  <si>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</si>
  <si>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</si>
  <si>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</si>
  <si>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</si>
  <si>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</si>
  <si>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</si>
  <si>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left out</t>
  </si>
  <si>
    <t>Used 7% Discount Rate</t>
  </si>
  <si>
    <t>Increase in Fringe Benefits</t>
  </si>
  <si>
    <t>Iowa</t>
  </si>
  <si>
    <t>Clients</t>
  </si>
  <si>
    <t>Amount</t>
  </si>
  <si>
    <t>Average</t>
  </si>
  <si>
    <t>Rehabilitation Rate</t>
  </si>
  <si>
    <t>Per $1 spent</t>
  </si>
  <si>
    <t>Per Client</t>
  </si>
  <si>
    <t>At Application</t>
  </si>
  <si>
    <t>At Closure</t>
  </si>
  <si>
    <t>Annual Earnings</t>
  </si>
  <si>
    <t>Change Yearly</t>
  </si>
  <si>
    <t>Total Closures (26 &amp; 28) (Total Program Expenses)</t>
  </si>
  <si>
    <t>Average All Costs Per (26) Outcome</t>
  </si>
  <si>
    <t>Program Costs</t>
  </si>
  <si>
    <t>Average Cost Per Case Closure</t>
  </si>
  <si>
    <t>Total Average Costs</t>
  </si>
  <si>
    <t>Benefits to Individual Consumer</t>
  </si>
  <si>
    <t>Annual</t>
  </si>
  <si>
    <t>10-Year Work Life</t>
  </si>
  <si>
    <t>30-Year Work Life</t>
  </si>
  <si>
    <t>Increased earnings</t>
  </si>
  <si>
    <t>Benefits to Taxpayers</t>
  </si>
  <si>
    <t>Reduction in Public Benefits (SSI, SSDI, TANF, Gen Assist)</t>
  </si>
  <si>
    <t>Reduction in Other Benefits (Vet, Work Comp, Other)</t>
  </si>
  <si>
    <t>(includes all closures except for 080 of 523 = 7195-6672)</t>
  </si>
  <si>
    <t>($43,839,137.44 = Closed Earnings - $13,131,369 Application earnings = $30,707,768.59)</t>
  </si>
  <si>
    <t>10% (Aggressive)</t>
  </si>
  <si>
    <t>5% (Sluggish)</t>
  </si>
  <si>
    <t>Fringe Benefits -- 25%</t>
  </si>
  <si>
    <t>Ratio (first year)</t>
  </si>
  <si>
    <t>7% (Moderate)</t>
  </si>
  <si>
    <t>Economy</t>
  </si>
  <si>
    <t>10-Year         Work Life</t>
  </si>
  <si>
    <t>30-Year          Work Life</t>
  </si>
  <si>
    <t>ROI on Federal and State Appropriations</t>
  </si>
  <si>
    <t>30-Year            Work Life</t>
  </si>
  <si>
    <t>ROI on State Appropriation</t>
  </si>
  <si>
    <t>10-Year            Work Life</t>
  </si>
  <si>
    <t>30-Year         Work Life</t>
  </si>
  <si>
    <t>Total Average Costs per 26-0 Closure</t>
  </si>
  <si>
    <t>IVRS Case Services Expenditures (26) Closures</t>
  </si>
  <si>
    <t>IVRS Case Services Expenditures (28) Closures</t>
  </si>
  <si>
    <t>IVRS Case Services Expenditures (08) Closures</t>
  </si>
  <si>
    <t>IVRS Case Services Expenditures (30) Closures</t>
  </si>
  <si>
    <t>IVRS Case Services Expenditures (38) Closures</t>
  </si>
  <si>
    <t>Average Annual Earnings Increase (26) Closures</t>
  </si>
  <si>
    <t>Savings on "Other" Public Support</t>
  </si>
  <si>
    <t>Total Savings</t>
  </si>
  <si>
    <t>Savings on SSI, SSDI, TANF, GA</t>
  </si>
  <si>
    <t>Average State Appropriation Cost for 26 Closures</t>
  </si>
  <si>
    <t>Average Increased Earnings per Individual 26 Closure</t>
  </si>
  <si>
    <t>Return on Investment for the State of Iowa</t>
  </si>
  <si>
    <t>Average Public Assistance Reduction</t>
  </si>
  <si>
    <t>Benefits to the State of Iowa</t>
  </si>
  <si>
    <t>Total Benefits to State of Iowa</t>
  </si>
  <si>
    <t>Public Assistance Savings (SSI, SSDI, TANF, General Asst.)</t>
  </si>
  <si>
    <t>Total State Appropriation Investment</t>
  </si>
  <si>
    <t>Total Revenue/Savings minus State Appropriation Investment</t>
  </si>
  <si>
    <t>Total State Appropriations</t>
  </si>
  <si>
    <t>ROI on Actual Case Service Expenditures                                                    and Estimated Administration Expenses</t>
  </si>
  <si>
    <t>Federal and State of Iowa Case Service Expenditures and Estimated Administration Expenses</t>
  </si>
  <si>
    <t>Increase in Consumer Earnings</t>
  </si>
  <si>
    <t>Average Increased Earnings per 26-0 Closure</t>
  </si>
  <si>
    <t>Average reduction in other public assistance</t>
  </si>
  <si>
    <t>Benefits to Federal and State per 26-0 Closure</t>
  </si>
  <si>
    <t>Average reduction in public assistance</t>
  </si>
  <si>
    <t>Total Benefits to Federal and State</t>
  </si>
  <si>
    <t>State/Federal Public Assistance Savings (SSI, SSDI, TANF, General Asst.)</t>
  </si>
  <si>
    <t xml:space="preserve">IVRS Case Service Costs of Outcomes (26) </t>
  </si>
  <si>
    <t xml:space="preserve">Reduction in public assistance </t>
  </si>
  <si>
    <t>Average Federal and State Cash Contribution per 26 Closure</t>
  </si>
  <si>
    <t xml:space="preserve">Total Average Contribution </t>
  </si>
  <si>
    <t>Program Cash Contribution</t>
  </si>
  <si>
    <t>IVRS Total ASB and RSB Administration Costs</t>
  </si>
  <si>
    <t>Increase in Average Annual Earnings per (26) Outcome</t>
  </si>
  <si>
    <t>Increase in Average Annual Earnings (26) Closures</t>
  </si>
  <si>
    <t>Total Federal and State Cash Contributions</t>
  </si>
  <si>
    <t>IVRS Case Service Costs of Outcomes (28)</t>
  </si>
  <si>
    <t>IVRS Case Service Costs of Outcomes (08)</t>
  </si>
  <si>
    <t>IVRS Case Service Costs of Outcomes (30)</t>
  </si>
  <si>
    <t xml:space="preserve">IVRS Case Service Costs of Outcomes (38) </t>
  </si>
  <si>
    <t>Change in Annual Earnings from 26-0 Closures</t>
  </si>
  <si>
    <t>Average Cost per 26-0</t>
  </si>
  <si>
    <t>The fields below are used for the calculations throughout the following sheets</t>
  </si>
  <si>
    <r>
      <t xml:space="preserve">IVRS Case Services Expenditures (26) Closures </t>
    </r>
    <r>
      <rPr>
        <sz val="12"/>
        <color rgb="FFFF0000"/>
        <rFont val="Arial"/>
        <family val="2"/>
      </rPr>
      <t xml:space="preserve"> (RSA113  D1)</t>
    </r>
  </si>
  <si>
    <r>
      <t xml:space="preserve">IVRS Case Services Expenditures (28) Closures  </t>
    </r>
    <r>
      <rPr>
        <sz val="12"/>
        <color rgb="FFFF0000"/>
        <rFont val="Arial"/>
        <family val="2"/>
      </rPr>
      <t>(RSA113 D2)</t>
    </r>
  </si>
  <si>
    <r>
      <t xml:space="preserve">IVRS Case Services Expenditures (08) Closures </t>
    </r>
    <r>
      <rPr>
        <sz val="12"/>
        <color rgb="FFFF0000"/>
        <rFont val="Arial"/>
        <family val="2"/>
      </rPr>
      <t xml:space="preserve"> (RSA113 D6+D7)</t>
    </r>
  </si>
  <si>
    <r>
      <t xml:space="preserve">IVRS Case Services Expenditures (30) Closures  </t>
    </r>
    <r>
      <rPr>
        <sz val="12"/>
        <color rgb="FFFF0000"/>
        <rFont val="Arial"/>
        <family val="2"/>
      </rPr>
      <t>(RSA113  D3+D4)</t>
    </r>
  </si>
  <si>
    <r>
      <t xml:space="preserve">IVRS Case Services Expenditures (38) Closures  </t>
    </r>
    <r>
      <rPr>
        <sz val="12"/>
        <color rgb="FFFF0000"/>
        <rFont val="Arial"/>
        <family val="2"/>
      </rPr>
      <t>(RSA113  D5)</t>
    </r>
  </si>
  <si>
    <r>
      <t xml:space="preserve">Application Annual Earnings from 26-0 Closures </t>
    </r>
    <r>
      <rPr>
        <sz val="12"/>
        <color rgb="FFFF0000"/>
        <rFont val="Arial"/>
        <family val="2"/>
      </rPr>
      <t>(Case service records)</t>
    </r>
  </si>
  <si>
    <r>
      <t xml:space="preserve">Closure Annual Earnings from 26-0 Closures        </t>
    </r>
    <r>
      <rPr>
        <sz val="12"/>
        <color rgb="FFFF0000"/>
        <rFont val="Arial"/>
        <family val="2"/>
      </rPr>
      <t>(Case service records)</t>
    </r>
  </si>
  <si>
    <r>
      <t xml:space="preserve">Number of clients closed 26-0 which had SSI, SSDI, TANF, GA at application that had $0.00 usage of SSI, SSDI, TANF, or GA at closure                                 </t>
    </r>
    <r>
      <rPr>
        <sz val="12"/>
        <color rgb="FFFF0000"/>
        <rFont val="Arial"/>
        <family val="2"/>
      </rPr>
      <t>(Case service record)</t>
    </r>
  </si>
  <si>
    <r>
      <t xml:space="preserve">Monthly Difference of savings from SSI, SSDI, TANF, GA at application that had $0.00 usage of SSI, SSDI, TANF, or GA at closure </t>
    </r>
    <r>
      <rPr>
        <sz val="12"/>
        <color rgb="FFFF0000"/>
        <rFont val="Arial"/>
        <family val="2"/>
      </rPr>
      <t>(Case service record)</t>
    </r>
  </si>
  <si>
    <r>
      <t xml:space="preserve">Total case service expenditures from case service records from 26-0 </t>
    </r>
    <r>
      <rPr>
        <sz val="12"/>
        <color rgb="FFFF0000"/>
        <rFont val="Arial"/>
        <family val="2"/>
      </rPr>
      <t>(Case service record)</t>
    </r>
  </si>
  <si>
    <r>
      <t xml:space="preserve">Total case service expenditures from case service records from 28-0 </t>
    </r>
    <r>
      <rPr>
        <sz val="12"/>
        <color rgb="FFFF0000"/>
        <rFont val="Arial"/>
        <family val="2"/>
      </rPr>
      <t>(Case service record)</t>
    </r>
  </si>
  <si>
    <r>
      <t xml:space="preserve">Total case service expenditures from case service records from 08-0 </t>
    </r>
    <r>
      <rPr>
        <sz val="12"/>
        <color rgb="FFFF0000"/>
        <rFont val="Arial"/>
        <family val="2"/>
      </rPr>
      <t>(Case service record)</t>
    </r>
  </si>
  <si>
    <r>
      <t xml:space="preserve">Total case service expenditures from case service records from 30-0 </t>
    </r>
    <r>
      <rPr>
        <sz val="12"/>
        <color rgb="FFFF0000"/>
        <rFont val="Arial"/>
        <family val="2"/>
      </rPr>
      <t>(Case service record)</t>
    </r>
  </si>
  <si>
    <r>
      <t xml:space="preserve">Total case service expenditures from case service records from 38-0 </t>
    </r>
    <r>
      <rPr>
        <sz val="12"/>
        <color rgb="FFFF0000"/>
        <rFont val="Arial"/>
        <family val="2"/>
      </rPr>
      <t>(Case service record)</t>
    </r>
  </si>
  <si>
    <t>RSA113 -- Quarterly Cumulative Caseload Report</t>
  </si>
  <si>
    <t>Wages reported by clients at application calculated to annually</t>
  </si>
  <si>
    <t>Wages reported by clients at closure calculated to annually</t>
  </si>
  <si>
    <t>Difference between annual wages at application and closure</t>
  </si>
  <si>
    <t>Case service expenditures throughout the case life of the 26-0 closures (Closed, Rehabilitated)</t>
  </si>
  <si>
    <t>Case service expenditures throughout the case life of the 28-0 closures (Closed, Not Rehabilitated, after IPE Services began)</t>
  </si>
  <si>
    <t>Case service expenditures throughout the case life of the 30-0 closures (Closed, Not Rehabilitated, Before IPE Services began)</t>
  </si>
  <si>
    <t>Case service expenditures throughout the case life of the 38-0 closures (Closed, Not Rehabilitated, Waiting List)</t>
  </si>
  <si>
    <t>Case service expenditures throughout the case life of the 08-0 closures (Closed, Not Rehabilitated, At Application before eligibility)</t>
  </si>
  <si>
    <t>Columns D-F, F-K, and K-AE are hid. To get each year unhide columns</t>
  </si>
  <si>
    <t xml:space="preserve">Found tax rates on the internet </t>
  </si>
  <si>
    <t>Change tax rate used in cell B36</t>
  </si>
  <si>
    <t>The federal and state tax rate is based on average increased earnings per 26-0 closure  (cell B21)</t>
  </si>
  <si>
    <t>Fringe benefit section is not used in following sheets but here if needed in future</t>
  </si>
  <si>
    <t>The state tax rate is based on average increased earnings per 26-0 closure  (cell B21)</t>
  </si>
  <si>
    <t>Change tax rate used in cell B96</t>
  </si>
  <si>
    <t>Comments on cells is where I retrieve information. Please change comments for your reference.</t>
  </si>
  <si>
    <r>
      <t xml:space="preserve">Total number of clients from RSA113 for FFY </t>
    </r>
    <r>
      <rPr>
        <sz val="12"/>
        <color rgb="FFFF0000"/>
        <rFont val="Arial"/>
        <family val="2"/>
      </rPr>
      <t>(RSA113  A3+A6+A10+A15+B3+C3+D8)</t>
    </r>
  </si>
  <si>
    <t>Taxes and Revenues (Federal and State)   (15% + 6.12% = 21.12%)</t>
  </si>
  <si>
    <t>Taxes and Revenues (State of Iowa Only) (6.12%)</t>
  </si>
  <si>
    <t>Impact of Employment and Income Status of Consumers in Closed Cases from FY2011</t>
  </si>
  <si>
    <t>Benefit-Cost Ratio, Payback of Federal and State Taxes and All Public Supports    (FFY2011)</t>
  </si>
  <si>
    <t>Benefit-Cost Ratio, Increased Income to Federal &amp; State Appropriations    (FFY2011)</t>
  </si>
  <si>
    <t>Consumer Income and Savings on Public Support among Closed Cases (26) from FFY2011</t>
  </si>
  <si>
    <t>Benefit-Cost Ratio, Payback - State Taxes and Public Support    (FFY2011)</t>
  </si>
  <si>
    <t>Benefit-Cost Ratio, Increased Earnings to State Appropriation (FFY2011)</t>
  </si>
  <si>
    <t>Average Costs and Benefits of Vocational Rehabilitation Program FFY2011</t>
  </si>
  <si>
    <t>Benefit-Cost Ratio, Increased Income to Actual Expenses (FFY2011)</t>
  </si>
  <si>
    <t>Average increased tax contributions (21.12%)</t>
  </si>
  <si>
    <t>Taxes and Revenue from increase (21.12%) $30.7 Million</t>
  </si>
  <si>
    <t>Average Tax Contribution Increase (6.12%)</t>
  </si>
  <si>
    <t>Increased State Tax Revenue (6.12%) $30.7 Million</t>
  </si>
  <si>
    <t>Increased tax contributions (21.12%)</t>
  </si>
  <si>
    <r>
      <t xml:space="preserve">Number of clients closed 26-0 which had "All Other" (Vet, WorkComp,Other) public support at application that had $0.00 usage of "All Other" (Vet,WorkComp,Other) public support at closure </t>
    </r>
    <r>
      <rPr>
        <sz val="12"/>
        <color rgb="FFFF0000"/>
        <rFont val="Arial"/>
        <family val="2"/>
      </rPr>
      <t>(Case service record)</t>
    </r>
  </si>
  <si>
    <r>
      <t xml:space="preserve">Monthly difference of savings from "All Other" (Vet,WorkComp,Other) public support at application that had $0.00 usage of "All Other" (Vet,WorkComp,Other) public support at closure </t>
    </r>
    <r>
      <rPr>
        <sz val="12"/>
        <color rgb="FFFF0000"/>
        <rFont val="Arial"/>
        <family val="2"/>
      </rPr>
      <t>(Case Service Record)</t>
    </r>
  </si>
  <si>
    <r>
      <t xml:space="preserve">Total Federal Funding Received for FFY </t>
    </r>
    <r>
      <rPr>
        <sz val="12"/>
        <color rgb="FFFF0000"/>
        <rFont val="Arial"/>
        <family val="2"/>
      </rPr>
      <t>(FSR or FFR10D)</t>
    </r>
  </si>
  <si>
    <t>FSR -- Financial Status Report  FFR -- Federal Financial Report 10D</t>
  </si>
  <si>
    <r>
      <t xml:space="preserve">Total State Appropriations Received for FFY </t>
    </r>
    <r>
      <rPr>
        <sz val="12"/>
        <color rgb="FFFF0000"/>
        <rFont val="Arial"/>
        <family val="2"/>
      </rPr>
      <t>(FSR or FFR10J less any contract/cooperative agreements match)</t>
    </r>
  </si>
  <si>
    <t>FFR -- Federal Financial Report 10J less any Contract/Cooperative Agreements match.</t>
  </si>
  <si>
    <r>
      <t>Total Administrative Expenditures</t>
    </r>
    <r>
      <rPr>
        <sz val="12"/>
        <color rgb="FFFF0000"/>
        <rFont val="Arial"/>
        <family val="2"/>
      </rPr>
      <t xml:space="preserve"> (RSA2)</t>
    </r>
  </si>
  <si>
    <r>
      <t xml:space="preserve">Total Expenditures for Basic Support Program </t>
    </r>
    <r>
      <rPr>
        <sz val="12"/>
        <color rgb="FFFF0000"/>
        <rFont val="Arial"/>
        <family val="2"/>
      </rPr>
      <t>(RSA2)</t>
    </r>
  </si>
  <si>
    <t>RSA2 1 Administration</t>
  </si>
  <si>
    <t>RSA2 4 Total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</si>
</sst>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7" x14ac:knownFonts="1">
    <font>
      <sz val="12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2"/>
      <color indexed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8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8">
    <xf numFmtId="0" fontId="0" fillId="0" borderId="0" xfId="0"/>
    <xf numFmtId="44" fontId="0" fillId="0" borderId="0" xfId="2" applyFont="1"/>
    <xf numFmtId="2" fontId="0" fillId="0" borderId="0" xfId="0" applyNumberFormat="1"/>
    <xf numFmtId="4" fontId="0" fillId="0" borderId="0" xfId="0" applyNumberFormat="1"/>
    <xf numFmtId="10" fontId="0" fillId="0" borderId="0" xfId="2" applyNumberFormat="1" applyFont="1"/>
    <xf numFmtId="9" fontId="0" fillId="0" borderId="0" xfId="2" applyNumberFormat="1" applyFont="1"/>
    <xf numFmtId="44" fontId="0" fillId="0" borderId="1" xfId="2" applyFont="1" applyBorder="1"/>
    <xf numFmtId="4" fontId="0" fillId="0" borderId="1" xfId="0" applyNumberFormat="1" applyBorder="1"/>
    <xf numFmtId="8" fontId="0" fillId="0" borderId="1" xfId="0" applyNumberFormat="1" applyBorder="1"/>
    <xf numFmtId="0" fontId="0" fillId="0" borderId="2" xfId="0" applyBorder="1"/>
    <xf numFmtId="2" fontId="0" fillId="0" borderId="3" xfId="0" applyNumberFormat="1" applyBorder="1"/>
    <xf numFmtId="0" fontId="0" fillId="0" borderId="4" xfId="0" applyBorder="1" applyAlignment="1">
      <alignment horizontal="center" wrapText="1"/>
    </xf>
    <xf numFmtId="44" fontId="0" fillId="0" borderId="5" xfId="2" applyFont="1" applyBorder="1"/>
    <xf numFmtId="4" fontId="0" fillId="0" borderId="5" xfId="0" applyNumberFormat="1" applyBorder="1"/>
    <xf numFmtId="2" fontId="0" fillId="0" borderId="6" xfId="0" applyNumberFormat="1" applyBorder="1"/>
    <xf numFmtId="37" fontId="0" fillId="0" borderId="0" xfId="2" applyNumberFormat="1" applyFont="1"/>
    <xf numFmtId="37" fontId="0" fillId="0" borderId="1" xfId="2" applyNumberFormat="1" applyFont="1" applyBorder="1"/>
    <xf numFmtId="44" fontId="4" fillId="0" borderId="1" xfId="2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0" fillId="0" borderId="1" xfId="2" applyNumberFormat="1" applyFont="1" applyBorder="1"/>
    <xf numFmtId="37" fontId="0" fillId="0" borderId="5" xfId="2" applyNumberFormat="1" applyFont="1" applyBorder="1"/>
    <xf numFmtId="0" fontId="0" fillId="0" borderId="2" xfId="0" applyBorder="1" applyAlignment="1">
      <alignment wrapText="1"/>
    </xf>
    <xf numFmtId="6" fontId="0" fillId="0" borderId="1" xfId="0" applyNumberFormat="1" applyBorder="1"/>
    <xf numFmtId="164" fontId="0" fillId="0" borderId="3" xfId="2" applyNumberFormat="1" applyFont="1" applyBorder="1"/>
    <xf numFmtId="164" fontId="0" fillId="0" borderId="1" xfId="0" applyNumberFormat="1" applyBorder="1"/>
    <xf numFmtId="164" fontId="0" fillId="0" borderId="3" xfId="0" applyNumberFormat="1" applyBorder="1"/>
    <xf numFmtId="164" fontId="3" fillId="0" borderId="1" xfId="0" applyNumberFormat="1" applyFont="1" applyBorder="1"/>
    <xf numFmtId="164" fontId="3" fillId="0" borderId="3" xfId="0" applyNumberFormat="1" applyFont="1" applyBorder="1"/>
    <xf numFmtId="164" fontId="3" fillId="0" borderId="1" xfId="2" applyNumberFormat="1" applyFont="1" applyBorder="1"/>
    <xf numFmtId="44" fontId="3" fillId="0" borderId="1" xfId="2" applyNumberFormat="1" applyFont="1" applyBorder="1"/>
    <xf numFmtId="6" fontId="3" fillId="0" borderId="1" xfId="0" applyNumberFormat="1" applyFont="1" applyBorder="1"/>
    <xf numFmtId="44" fontId="3" fillId="0" borderId="1" xfId="2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/>
    <xf numFmtId="0" fontId="3" fillId="0" borderId="2" xfId="0" applyFont="1" applyBorder="1" applyAlignment="1"/>
    <xf numFmtId="0" fontId="0" fillId="0" borderId="2" xfId="0" applyBorder="1" applyAlignment="1">
      <alignment horizontal="left"/>
    </xf>
    <xf numFmtId="164" fontId="0" fillId="0" borderId="5" xfId="2" applyNumberFormat="1" applyFont="1" applyBorder="1"/>
    <xf numFmtId="3" fontId="0" fillId="0" borderId="0" xfId="0" applyNumberFormat="1"/>
    <xf numFmtId="0" fontId="3" fillId="0" borderId="0" xfId="0" applyFont="1"/>
    <xf numFmtId="0" fontId="0" fillId="0" borderId="1" xfId="0" applyBorder="1"/>
    <xf numFmtId="44" fontId="1" fillId="0" borderId="0" xfId="2"/>
    <xf numFmtId="164" fontId="0" fillId="0" borderId="10" xfId="2" applyNumberFormat="1" applyFont="1" applyBorder="1"/>
    <xf numFmtId="164" fontId="0" fillId="0" borderId="10" xfId="0" applyNumberFormat="1" applyBorder="1"/>
    <xf numFmtId="164" fontId="3" fillId="0" borderId="10" xfId="0" applyNumberFormat="1" applyFont="1" applyBorder="1"/>
    <xf numFmtId="2" fontId="0" fillId="0" borderId="11" xfId="0" applyNumberFormat="1" applyBorder="1"/>
    <xf numFmtId="0" fontId="0" fillId="0" borderId="6" xfId="0" applyBorder="1"/>
    <xf numFmtId="0" fontId="0" fillId="0" borderId="12" xfId="0" applyBorder="1"/>
    <xf numFmtId="44" fontId="0" fillId="0" borderId="0" xfId="2" applyFont="1" applyBorder="1"/>
    <xf numFmtId="4" fontId="0" fillId="0" borderId="0" xfId="0" applyNumberFormat="1" applyBorder="1"/>
    <xf numFmtId="0" fontId="0" fillId="0" borderId="13" xfId="0" applyBorder="1"/>
    <xf numFmtId="44" fontId="1" fillId="0" borderId="0" xfId="2" applyBorder="1"/>
    <xf numFmtId="44" fontId="1" fillId="0" borderId="1" xfId="2" applyBorder="1"/>
    <xf numFmtId="164" fontId="1" fillId="0" borderId="1" xfId="2" applyNumberFormat="1" applyBorder="1"/>
    <xf numFmtId="164" fontId="1" fillId="0" borderId="10" xfId="2" applyNumberFormat="1" applyBorder="1"/>
    <xf numFmtId="164" fontId="1" fillId="0" borderId="3" xfId="2" applyNumberFormat="1" applyFont="1" applyFill="1" applyBorder="1"/>
    <xf numFmtId="164" fontId="1" fillId="0" borderId="3" xfId="2" applyNumberFormat="1" applyBorder="1"/>
    <xf numFmtId="44" fontId="1" fillId="0" borderId="5" xfId="2" applyBorder="1"/>
    <xf numFmtId="37" fontId="1" fillId="0" borderId="1" xfId="2" applyNumberFormat="1" applyBorder="1"/>
    <xf numFmtId="37" fontId="1" fillId="0" borderId="5" xfId="2" applyNumberFormat="1" applyBorder="1"/>
    <xf numFmtId="164" fontId="1" fillId="0" borderId="5" xfId="2" applyNumberFormat="1" applyBorder="1"/>
    <xf numFmtId="37" fontId="1" fillId="0" borderId="0" xfId="2" applyNumberFormat="1"/>
    <xf numFmtId="10" fontId="1" fillId="0" borderId="0" xfId="2" applyNumberFormat="1"/>
    <xf numFmtId="9" fontId="1" fillId="0" borderId="0" xfId="2" applyNumberFormat="1"/>
    <xf numFmtId="165" fontId="1" fillId="0" borderId="3" xfId="1" applyNumberFormat="1" applyFill="1" applyBorder="1"/>
    <xf numFmtId="0" fontId="0" fillId="0" borderId="14" xfId="0" applyBorder="1"/>
    <xf numFmtId="0" fontId="3" fillId="0" borderId="15" xfId="0" applyFont="1" applyBorder="1"/>
    <xf numFmtId="164" fontId="0" fillId="0" borderId="14" xfId="2" applyNumberFormat="1" applyFont="1" applyBorder="1"/>
    <xf numFmtId="164" fontId="3" fillId="0" borderId="15" xfId="2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164" fontId="0" fillId="0" borderId="13" xfId="2" applyNumberFormat="1" applyFont="1" applyBorder="1"/>
    <xf numFmtId="0" fontId="3" fillId="0" borderId="20" xfId="0" applyFont="1" applyBorder="1"/>
    <xf numFmtId="164" fontId="0" fillId="0" borderId="21" xfId="2" applyNumberFormat="1" applyFont="1" applyBorder="1"/>
    <xf numFmtId="0" fontId="0" fillId="0" borderId="0" xfId="0" applyBorder="1"/>
    <xf numFmtId="164" fontId="0" fillId="0" borderId="0" xfId="2" applyNumberFormat="1" applyFont="1" applyBorder="1"/>
    <xf numFmtId="164" fontId="3" fillId="0" borderId="21" xfId="2" applyNumberFormat="1" applyFont="1" applyBorder="1"/>
    <xf numFmtId="0" fontId="3" fillId="0" borderId="22" xfId="0" applyFont="1" applyBorder="1"/>
    <xf numFmtId="0" fontId="3" fillId="0" borderId="23" xfId="0" applyFont="1" applyBorder="1"/>
    <xf numFmtId="2" fontId="3" fillId="0" borderId="23" xfId="2" applyNumberFormat="1" applyFont="1" applyBorder="1"/>
    <xf numFmtId="164" fontId="3" fillId="0" borderId="21" xfId="2" applyNumberFormat="1" applyFont="1" applyBorder="1" applyAlignment="1">
      <alignment wrapText="1"/>
    </xf>
    <xf numFmtId="0" fontId="0" fillId="0" borderId="24" xfId="0" applyBorder="1"/>
    <xf numFmtId="0" fontId="0" fillId="0" borderId="25" xfId="0" applyBorder="1"/>
    <xf numFmtId="164" fontId="0" fillId="0" borderId="25" xfId="2" applyNumberFormat="1" applyFont="1" applyBorder="1"/>
    <xf numFmtId="164" fontId="0" fillId="0" borderId="26" xfId="2" applyNumberFormat="1" applyFont="1" applyBorder="1"/>
    <xf numFmtId="10" fontId="3" fillId="0" borderId="1" xfId="3" applyNumberFormat="1" applyFont="1" applyBorder="1"/>
    <xf numFmtId="0" fontId="0" fillId="0" borderId="8" xfId="0" applyBorder="1"/>
    <xf numFmtId="0" fontId="0" fillId="0" borderId="3" xfId="0" applyBorder="1"/>
    <xf numFmtId="9" fontId="0" fillId="0" borderId="2" xfId="3" applyFont="1" applyBorder="1"/>
    <xf numFmtId="164" fontId="0" fillId="0" borderId="6" xfId="2" applyNumberFormat="1" applyFont="1" applyBorder="1"/>
    <xf numFmtId="165" fontId="0" fillId="0" borderId="1" xfId="2" applyNumberFormat="1" applyFont="1" applyFill="1" applyBorder="1"/>
    <xf numFmtId="2" fontId="3" fillId="0" borderId="30" xfId="2" applyNumberFormat="1" applyFont="1" applyBorder="1"/>
    <xf numFmtId="0" fontId="3" fillId="0" borderId="7" xfId="0" applyFont="1" applyBorder="1"/>
    <xf numFmtId="0" fontId="3" fillId="5" borderId="31" xfId="0" applyFont="1" applyFill="1" applyBorder="1"/>
    <xf numFmtId="0" fontId="0" fillId="5" borderId="31" xfId="0" applyFill="1" applyBorder="1"/>
    <xf numFmtId="0" fontId="3" fillId="6" borderId="1" xfId="0" applyFont="1" applyFill="1" applyBorder="1"/>
    <xf numFmtId="0" fontId="3" fillId="6" borderId="3" xfId="0" applyFont="1" applyFill="1" applyBorder="1"/>
    <xf numFmtId="0" fontId="3" fillId="7" borderId="27" xfId="0" applyFont="1" applyFill="1" applyBorder="1"/>
    <xf numFmtId="0" fontId="3" fillId="7" borderId="28" xfId="0" applyFont="1" applyFill="1" applyBorder="1"/>
    <xf numFmtId="0" fontId="0" fillId="7" borderId="28" xfId="0" applyFill="1" applyBorder="1"/>
    <xf numFmtId="0" fontId="0" fillId="7" borderId="29" xfId="0" applyFill="1" applyBorder="1"/>
    <xf numFmtId="0" fontId="0" fillId="5" borderId="32" xfId="0" applyFill="1" applyBorder="1"/>
    <xf numFmtId="0" fontId="0" fillId="5" borderId="33" xfId="0" applyFill="1" applyBorder="1"/>
    <xf numFmtId="0" fontId="0" fillId="0" borderId="34" xfId="0" applyBorder="1"/>
    <xf numFmtId="37" fontId="0" fillId="0" borderId="35" xfId="2" applyNumberFormat="1" applyFont="1" applyBorder="1"/>
    <xf numFmtId="164" fontId="0" fillId="0" borderId="35" xfId="2" applyNumberFormat="1" applyFont="1" applyBorder="1"/>
    <xf numFmtId="44" fontId="0" fillId="0" borderId="35" xfId="2" applyFont="1" applyBorder="1"/>
    <xf numFmtId="4" fontId="0" fillId="0" borderId="35" xfId="0" applyNumberFormat="1" applyBorder="1"/>
    <xf numFmtId="2" fontId="0" fillId="0" borderId="36" xfId="0" applyNumberFormat="1" applyBorder="1"/>
    <xf numFmtId="2" fontId="0" fillId="0" borderId="13" xfId="0" applyNumberFormat="1" applyBorder="1"/>
    <xf numFmtId="0" fontId="0" fillId="0" borderId="12" xfId="0" applyBorder="1" applyAlignment="1">
      <alignment horizontal="center" wrapText="1"/>
    </xf>
    <xf numFmtId="8" fontId="0" fillId="0" borderId="5" xfId="0" applyNumberFormat="1" applyBorder="1"/>
    <xf numFmtId="6" fontId="0" fillId="0" borderId="5" xfId="0" applyNumberFormat="1" applyBorder="1"/>
    <xf numFmtId="44" fontId="3" fillId="0" borderId="16" xfId="2" applyFont="1" applyBorder="1"/>
    <xf numFmtId="4" fontId="3" fillId="0" borderId="16" xfId="0" applyNumberFormat="1" applyFont="1" applyBorder="1"/>
    <xf numFmtId="2" fontId="3" fillId="0" borderId="18" xfId="0" applyNumberFormat="1" applyFont="1" applyBorder="1"/>
    <xf numFmtId="0" fontId="3" fillId="0" borderId="37" xfId="0" applyFont="1" applyBorder="1" applyAlignment="1">
      <alignment wrapText="1"/>
    </xf>
    <xf numFmtId="44" fontId="3" fillId="0" borderId="38" xfId="2" applyFont="1" applyBorder="1" applyAlignment="1">
      <alignment wrapText="1"/>
    </xf>
    <xf numFmtId="4" fontId="3" fillId="0" borderId="38" xfId="0" applyNumberFormat="1" applyFont="1" applyBorder="1" applyAlignment="1">
      <alignment wrapText="1"/>
    </xf>
    <xf numFmtId="2" fontId="3" fillId="0" borderId="39" xfId="0" applyNumberFormat="1" applyFont="1" applyBorder="1" applyAlignment="1">
      <alignment wrapText="1"/>
    </xf>
    <xf numFmtId="44" fontId="0" fillId="0" borderId="14" xfId="2" applyFont="1" applyBorder="1"/>
    <xf numFmtId="4" fontId="0" fillId="0" borderId="14" xfId="0" applyNumberFormat="1" applyBorder="1"/>
    <xf numFmtId="2" fontId="0" fillId="0" borderId="40" xfId="0" applyNumberFormat="1" applyBorder="1"/>
    <xf numFmtId="44" fontId="3" fillId="0" borderId="15" xfId="2" applyFont="1" applyBorder="1"/>
    <xf numFmtId="0" fontId="3" fillId="0" borderId="20" xfId="0" applyFont="1" applyBorder="1" applyAlignment="1">
      <alignment wrapText="1"/>
    </xf>
    <xf numFmtId="44" fontId="3" fillId="0" borderId="15" xfId="2" applyFont="1" applyBorder="1" applyAlignment="1">
      <alignment wrapText="1"/>
    </xf>
    <xf numFmtId="44" fontId="3" fillId="0" borderId="41" xfId="2" applyFont="1" applyBorder="1" applyAlignment="1">
      <alignment horizontal="center" wrapText="1"/>
    </xf>
    <xf numFmtId="4" fontId="3" fillId="0" borderId="41" xfId="0" applyNumberFormat="1" applyFont="1" applyBorder="1" applyAlignment="1">
      <alignment horizontal="center" wrapText="1"/>
    </xf>
    <xf numFmtId="2" fontId="3" fillId="0" borderId="43" xfId="0" applyNumberFormat="1" applyFont="1" applyBorder="1" applyAlignment="1">
      <alignment wrapText="1"/>
    </xf>
    <xf numFmtId="2" fontId="3" fillId="0" borderId="44" xfId="0" applyNumberFormat="1" applyFont="1" applyBorder="1"/>
    <xf numFmtId="4" fontId="3" fillId="0" borderId="45" xfId="0" applyNumberFormat="1" applyFont="1" applyBorder="1" applyAlignment="1">
      <alignment wrapText="1"/>
    </xf>
    <xf numFmtId="4" fontId="3" fillId="0" borderId="41" xfId="0" applyNumberFormat="1" applyFont="1" applyBorder="1" applyAlignment="1">
      <alignment wrapText="1"/>
    </xf>
    <xf numFmtId="44" fontId="3" fillId="0" borderId="41" xfId="2" applyFont="1" applyBorder="1" applyAlignment="1">
      <alignment wrapText="1"/>
    </xf>
    <xf numFmtId="2" fontId="0" fillId="0" borderId="49" xfId="0" applyNumberFormat="1" applyBorder="1"/>
    <xf numFmtId="2" fontId="3" fillId="0" borderId="43" xfId="0" applyNumberFormat="1" applyFont="1" applyBorder="1"/>
    <xf numFmtId="44" fontId="3" fillId="0" borderId="23" xfId="2" applyFont="1" applyBorder="1"/>
    <xf numFmtId="44" fontId="3" fillId="0" borderId="48" xfId="2" applyFont="1" applyBorder="1"/>
    <xf numFmtId="2" fontId="3" fillId="0" borderId="36" xfId="0" applyNumberFormat="1" applyFont="1" applyBorder="1"/>
    <xf numFmtId="4" fontId="0" fillId="0" borderId="50" xfId="0" applyNumberFormat="1" applyBorder="1"/>
    <xf numFmtId="4" fontId="0" fillId="0" borderId="10" xfId="0" applyNumberFormat="1" applyBorder="1" applyAlignment="1">
      <alignment horizontal="center"/>
    </xf>
    <xf numFmtId="164" fontId="0" fillId="0" borderId="8" xfId="2" applyNumberFormat="1" applyFont="1" applyBorder="1"/>
    <xf numFmtId="164" fontId="0" fillId="0" borderId="50" xfId="2" applyNumberFormat="1" applyFont="1" applyBorder="1"/>
    <xf numFmtId="164" fontId="0" fillId="0" borderId="9" xfId="2" applyNumberFormat="1" applyFont="1" applyFill="1" applyBorder="1"/>
    <xf numFmtId="164" fontId="3" fillId="0" borderId="15" xfId="2" applyNumberFormat="1" applyFont="1" applyBorder="1" applyAlignment="1">
      <alignment horizontal="center" wrapText="1"/>
    </xf>
    <xf numFmtId="164" fontId="3" fillId="0" borderId="41" xfId="2" applyNumberFormat="1" applyFont="1" applyBorder="1"/>
    <xf numFmtId="0" fontId="3" fillId="0" borderId="51" xfId="0" applyFont="1" applyBorder="1" applyAlignment="1">
      <alignment horizontal="center" wrapText="1"/>
    </xf>
    <xf numFmtId="164" fontId="3" fillId="0" borderId="45" xfId="2" applyNumberFormat="1" applyFont="1" applyBorder="1"/>
    <xf numFmtId="164" fontId="3" fillId="0" borderId="45" xfId="2" applyNumberFormat="1" applyFont="1" applyBorder="1" applyAlignment="1">
      <alignment horizontal="center" wrapText="1"/>
    </xf>
    <xf numFmtId="164" fontId="0" fillId="0" borderId="52" xfId="2" applyNumberFormat="1" applyFont="1" applyBorder="1"/>
    <xf numFmtId="164" fontId="0" fillId="0" borderId="53" xfId="2" applyNumberFormat="1" applyFont="1" applyBorder="1"/>
    <xf numFmtId="2" fontId="8" fillId="0" borderId="35" xfId="2" applyNumberFormat="1" applyFont="1" applyBorder="1"/>
    <xf numFmtId="164" fontId="3" fillId="0" borderId="43" xfId="2" applyNumberFormat="1" applyFont="1" applyBorder="1" applyAlignment="1">
      <alignment horizontal="center" wrapText="1"/>
    </xf>
    <xf numFmtId="164" fontId="0" fillId="0" borderId="54" xfId="2" applyNumberFormat="1" applyFont="1" applyBorder="1"/>
    <xf numFmtId="164" fontId="0" fillId="0" borderId="49" xfId="2" applyNumberFormat="1" applyFont="1" applyBorder="1"/>
    <xf numFmtId="164" fontId="3" fillId="0" borderId="43" xfId="2" applyNumberFormat="1" applyFont="1" applyBorder="1"/>
    <xf numFmtId="2" fontId="3" fillId="0" borderId="36" xfId="2" applyNumberFormat="1" applyFont="1" applyBorder="1"/>
    <xf numFmtId="0" fontId="3" fillId="0" borderId="46" xfId="0" applyFont="1" applyBorder="1" applyAlignment="1">
      <alignment horizontal="center" wrapText="1"/>
    </xf>
    <xf numFmtId="0" fontId="0" fillId="0" borderId="16" xfId="0" applyBorder="1"/>
    <xf numFmtId="164" fontId="0" fillId="0" borderId="15" xfId="2" applyNumberFormat="1" applyFont="1" applyBorder="1"/>
    <xf numFmtId="164" fontId="3" fillId="0" borderId="41" xfId="2" applyNumberFormat="1" applyFont="1" applyBorder="1" applyAlignment="1">
      <alignment horizontal="center" wrapText="1"/>
    </xf>
    <xf numFmtId="164" fontId="0" fillId="0" borderId="55" xfId="2" applyNumberFormat="1" applyFont="1" applyBorder="1"/>
    <xf numFmtId="164" fontId="0" fillId="0" borderId="47" xfId="2" applyNumberFormat="1" applyFont="1" applyBorder="1"/>
    <xf numFmtId="44" fontId="3" fillId="0" borderId="8" xfId="2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2" fontId="0" fillId="0" borderId="9" xfId="0" applyNumberFormat="1" applyBorder="1"/>
    <xf numFmtId="164" fontId="1" fillId="0" borderId="8" xfId="2" applyNumberFormat="1" applyBorder="1"/>
    <xf numFmtId="164" fontId="1" fillId="0" borderId="50" xfId="2" applyNumberFormat="1" applyBorder="1"/>
    <xf numFmtId="164" fontId="1" fillId="0" borderId="9" xfId="2" applyNumberFormat="1" applyFont="1" applyFill="1" applyBorder="1"/>
    <xf numFmtId="2" fontId="3" fillId="0" borderId="35" xfId="2" applyNumberFormat="1" applyFont="1" applyBorder="1"/>
    <xf numFmtId="37" fontId="1" fillId="0" borderId="35" xfId="2" applyNumberFormat="1" applyBorder="1"/>
    <xf numFmtId="164" fontId="1" fillId="0" borderId="35" xfId="2" applyNumberFormat="1" applyBorder="1"/>
    <xf numFmtId="44" fontId="1" fillId="0" borderId="35" xfId="2" applyBorder="1"/>
    <xf numFmtId="164" fontId="3" fillId="0" borderId="46" xfId="2" applyNumberFormat="1" applyFont="1" applyBorder="1"/>
    <xf numFmtId="164" fontId="3" fillId="0" borderId="42" xfId="2" applyNumberFormat="1" applyFont="1" applyBorder="1"/>
    <xf numFmtId="0" fontId="13" fillId="0" borderId="0" xfId="0" applyFont="1"/>
    <xf numFmtId="44" fontId="1" fillId="0" borderId="34" xfId="2" applyFon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164" fontId="3" fillId="0" borderId="52" xfId="2" applyNumberFormat="1" applyFont="1" applyBorder="1"/>
    <xf numFmtId="164" fontId="3" fillId="0" borderId="25" xfId="2" applyNumberFormat="1" applyFont="1" applyBorder="1"/>
    <xf numFmtId="164" fontId="3" fillId="0" borderId="26" xfId="2" applyNumberFormat="1" applyFont="1" applyBorder="1"/>
    <xf numFmtId="44" fontId="3" fillId="0" borderId="51" xfId="2" applyFont="1" applyBorder="1" applyAlignment="1">
      <alignment horizontal="center" wrapText="1"/>
    </xf>
    <xf numFmtId="44" fontId="3" fillId="0" borderId="25" xfId="2" applyFont="1" applyBorder="1"/>
    <xf numFmtId="164" fontId="3" fillId="0" borderId="55" xfId="2" applyNumberFormat="1" applyFont="1" applyBorder="1"/>
    <xf numFmtId="2" fontId="3" fillId="0" borderId="54" xfId="0" applyNumberFormat="1" applyFont="1" applyBorder="1"/>
    <xf numFmtId="44" fontId="0" fillId="0" borderId="34" xfId="2" applyFont="1" applyBorder="1" applyAlignment="1">
      <alignment horizontal="center"/>
    </xf>
    <xf numFmtId="44" fontId="15" fillId="0" borderId="48" xfId="2" applyFont="1" applyBorder="1"/>
    <xf numFmtId="0" fontId="0" fillId="0" borderId="1" xfId="0" applyBorder="1" applyAlignment="1">
      <alignment wrapText="1"/>
    </xf>
    <xf numFmtId="164" fontId="0" fillId="0" borderId="1" xfId="2" applyNumberFormat="1" applyFont="1" applyFill="1" applyBorder="1"/>
    <xf numFmtId="8" fontId="3" fillId="0" borderId="1" xfId="0" applyNumberFormat="1" applyFont="1" applyBorder="1"/>
    <xf numFmtId="4" fontId="0" fillId="0" borderId="10" xfId="0" applyNumberFormat="1" applyBorder="1"/>
    <xf numFmtId="44" fontId="0" fillId="0" borderId="10" xfId="2" applyFont="1" applyBorder="1"/>
    <xf numFmtId="2" fontId="0" fillId="0" borderId="57" xfId="0" applyNumberFormat="1" applyBorder="1"/>
    <xf numFmtId="2" fontId="0" fillId="9" borderId="58" xfId="0" applyNumberFormat="1" applyFill="1" applyBorder="1" applyAlignment="1">
      <alignment wrapText="1"/>
    </xf>
    <xf numFmtId="164" fontId="0" fillId="9" borderId="59" xfId="2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44" fontId="3" fillId="0" borderId="23" xfId="2" applyNumberFormat="1" applyFont="1" applyBorder="1"/>
    <xf numFmtId="44" fontId="3" fillId="0" borderId="48" xfId="2" applyNumberFormat="1" applyFont="1" applyBorder="1"/>
    <xf numFmtId="164" fontId="0" fillId="0" borderId="63" xfId="2" applyNumberFormat="1" applyFont="1" applyFill="1" applyBorder="1"/>
    <xf numFmtId="164" fontId="0" fillId="9" borderId="60" xfId="2" applyNumberFormat="1" applyFont="1" applyFill="1" applyBorder="1"/>
    <xf numFmtId="37" fontId="0" fillId="0" borderId="50" xfId="2" applyNumberFormat="1" applyFont="1" applyBorder="1"/>
    <xf numFmtId="37" fontId="0" fillId="0" borderId="10" xfId="2" applyNumberFormat="1" applyFont="1" applyBorder="1"/>
    <xf numFmtId="164" fontId="0" fillId="0" borderId="10" xfId="2" applyNumberFormat="1" applyFont="1" applyFill="1" applyBorder="1"/>
    <xf numFmtId="165" fontId="0" fillId="0" borderId="10" xfId="1" applyNumberFormat="1" applyFont="1" applyBorder="1"/>
    <xf numFmtId="165" fontId="0" fillId="0" borderId="10" xfId="1" applyNumberFormat="1" applyFont="1" applyFill="1" applyBorder="1"/>
    <xf numFmtId="0" fontId="1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5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3" fillId="0" borderId="63" xfId="0" applyFont="1" applyFill="1" applyBorder="1" applyAlignment="1">
      <alignment vertical="top" wrapText="1"/>
    </xf>
    <xf numFmtId="164" fontId="0" fillId="0" borderId="53" xfId="2" applyNumberFormat="1" applyFont="1" applyFill="1" applyBorder="1"/>
    <xf numFmtId="0" fontId="3" fillId="9" borderId="61" xfId="0" applyFont="1" applyFill="1" applyBorder="1" applyAlignment="1">
      <alignment horizontal="center" vertical="center" wrapText="1"/>
    </xf>
    <xf numFmtId="0" fontId="3" fillId="9" borderId="64" xfId="0" applyFont="1" applyFill="1" applyBorder="1" applyAlignment="1">
      <alignment horizontal="center" vertical="center" wrapText="1"/>
    </xf>
    <xf numFmtId="0" fontId="3" fillId="9" borderId="62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44" fontId="1" fillId="4" borderId="27" xfId="2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44" fontId="0" fillId="4" borderId="27" xfId="2" applyFont="1" applyFill="1" applyBorder="1" applyAlignment="1">
      <alignment horizontal="center"/>
    </xf>
    <xf numFmtId="44" fontId="0" fillId="4" borderId="28" xfId="2" applyFont="1" applyFill="1" applyBorder="1" applyAlignment="1">
      <alignment horizontal="center"/>
    </xf>
    <xf numFmtId="44" fontId="0" fillId="4" borderId="29" xfId="2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333374</xdr:colOff>
      <xdr:row>47</xdr:row>
      <xdr:rowOff>180975</xdr:rowOff>
    </xdr:from>
    <xdr:to>
      <xdr:col>5</xdr:col>
      <xdr:colOff>1047749</xdr:colOff>
      <xdr:row>52</xdr:row>
      <xdr:rowOff>9525</xdr:rowOff>
    </xdr:to>
    <xdr:sp macro="" textlink="">
      <xdr:nvSpPr>
        <xdr:cNvPr id="2" name="TextBox 1"/>
        <xdr:cNvSpPr txBox="1"/>
      </xdr:nvSpPr>
      <xdr:spPr>
        <a:xfrm>
          <a:off x="7743824" y="14201775"/>
          <a:ext cx="714375" cy="981075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Data from the case service records</a:t>
          </a:r>
        </a:p>
      </xdr:txBody>
    </xdr:sp>
    <xdr:clientData/>
  </xdr:twoCellAnchor>
  <xdr:twoCellAnchor>
    <xdr:from>
      <xdr:col>4</xdr:col>
      <xdr:colOff>1133475</xdr:colOff>
      <xdr:row>48</xdr:row>
      <xdr:rowOff>114300</xdr:rowOff>
    </xdr:from>
    <xdr:to>
      <xdr:col>5</xdr:col>
      <xdr:colOff>333374</xdr:colOff>
      <xdr:row>50</xdr:row>
      <xdr:rowOff>90488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 flipV="1">
          <a:off x="7391400" y="14335125"/>
          <a:ext cx="352424" cy="3571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1143000</xdr:colOff>
      <xdr:row>50</xdr:row>
      <xdr:rowOff>95250</xdr:rowOff>
    </xdr:from>
    <xdr:to>
      <xdr:col>5</xdr:col>
      <xdr:colOff>323850</xdr:colOff>
      <xdr:row>50</xdr:row>
      <xdr:rowOff>295275</xdr:rowOff>
    </xdr:to>
    <xdr:cxnSp macro="">
      <xdr:nvCxnSpPr>
        <xdr:cNvPr id="6" name="Straight Arrow Connector 5"/>
        <xdr:cNvCxnSpPr/>
      </xdr:nvCxnSpPr>
      <xdr:spPr>
        <a:xfrm flipH="1">
          <a:off x="7400925" y="14697075"/>
          <a:ext cx="333375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50</xdr:row>
      <xdr:rowOff>90488</xdr:rowOff>
    </xdr:from>
    <xdr:to>
      <xdr:col>5</xdr:col>
      <xdr:colOff>333374</xdr:colOff>
      <xdr:row>51</xdr:row>
      <xdr:rowOff>114300</xdr:rowOff>
    </xdr:to>
    <xdr:cxnSp macro="">
      <xdr:nvCxnSpPr>
        <xdr:cNvPr id="8" name="Straight Arrow Connector 7"/>
        <xdr:cNvCxnSpPr>
          <a:stCxn id="2" idx="1"/>
        </xdr:cNvCxnSpPr>
      </xdr:nvCxnSpPr>
      <xdr:spPr>
        <a:xfrm flipH="1">
          <a:off x="7439025" y="14692313"/>
          <a:ext cx="304799" cy="40481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523875</xdr:colOff>
      <xdr:row>36</xdr:row>
      <xdr:rowOff>142875</xdr:rowOff>
    </xdr:from>
    <xdr:to>
      <xdr:col>5</xdr:col>
      <xdr:colOff>771525</xdr:colOff>
      <xdr:row>39</xdr:row>
      <xdr:rowOff>209550</xdr:rowOff>
    </xdr:to>
    <xdr:sp macro="" textlink="">
      <xdr:nvSpPr>
        <xdr:cNvPr id="11" name="TextBox 10"/>
        <xdr:cNvSpPr txBox="1"/>
      </xdr:nvSpPr>
      <xdr:spPr>
        <a:xfrm>
          <a:off x="6781800" y="10687050"/>
          <a:ext cx="1400175" cy="1209675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Data</a:t>
          </a:r>
          <a:r>
            <a:rPr lang="en-US" sz="1100" b="1" baseline="0"/>
            <a:t> from Financial Status Report (FSR). Used the certified match for total funds from Basic Support</a:t>
          </a:r>
        </a:p>
        <a:p>
          <a:endParaRPr lang="en-US" sz="1100"/>
        </a:p>
      </xdr:txBody>
    </xdr:sp>
    <xdr:clientData/>
  </xdr:twoCellAnchor>
  <xdr:twoCellAnchor>
    <xdr:from>
      <xdr:col>3</xdr:col>
      <xdr:colOff>28575</xdr:colOff>
      <xdr:row>37</xdr:row>
      <xdr:rowOff>257175</xdr:rowOff>
    </xdr:from>
    <xdr:to>
      <xdr:col>4</xdr:col>
      <xdr:colOff>495300</xdr:colOff>
      <xdr:row>39</xdr:row>
      <xdr:rowOff>57150</xdr:rowOff>
    </xdr:to>
    <xdr:cxnSp macro="">
      <xdr:nvCxnSpPr>
        <xdr:cNvPr id="13" name="Straight Arrow Connector 12"/>
        <xdr:cNvCxnSpPr/>
      </xdr:nvCxnSpPr>
      <xdr:spPr>
        <a:xfrm flipH="1">
          <a:off x="5029200" y="11172825"/>
          <a:ext cx="1724025" cy="5619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2266950</xdr:colOff>
      <xdr:row>37</xdr:row>
      <xdr:rowOff>276226</xdr:rowOff>
    </xdr:from>
    <xdr:to>
      <xdr:col>1</xdr:col>
      <xdr:colOff>676275</xdr:colOff>
      <xdr:row>40</xdr:row>
      <xdr:rowOff>123826</xdr:rowOff>
    </xdr:to>
    <xdr:sp macro="" textlink="">
      <xdr:nvSpPr>
        <xdr:cNvPr id="2" name="TextBox 1"/>
        <xdr:cNvSpPr txBox="1"/>
      </xdr:nvSpPr>
      <xdr:spPr>
        <a:xfrm>
          <a:off x="2266950" y="11744326"/>
          <a:ext cx="1000125" cy="990600"/>
        </a:xfrm>
        <a:prstGeom prst="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Total number</a:t>
          </a:r>
          <a:r>
            <a:rPr lang="en-US" sz="1100" b="1" baseline="0"/>
            <a:t> of clients from RSA113 (A3+A10+A15+B3+C3+D8)</a:t>
          </a:r>
          <a:endParaRPr lang="en-US" sz="1100" b="1"/>
        </a:p>
      </xdr:txBody>
    </xdr:sp>
    <xdr:clientData/>
  </xdr:twoCellAnchor>
  <xdr:twoCellAnchor>
    <xdr:from>
      <xdr:col>1</xdr:col>
      <xdr:colOff>180975</xdr:colOff>
      <xdr:row>40</xdr:row>
      <xdr:rowOff>123825</xdr:rowOff>
    </xdr:from>
    <xdr:to>
      <xdr:col>1</xdr:col>
      <xdr:colOff>628650</xdr:colOff>
      <xdr:row>41</xdr:row>
      <xdr:rowOff>66675</xdr:rowOff>
    </xdr:to>
    <xdr:cxnSp macro="">
      <xdr:nvCxnSpPr>
        <xdr:cNvPr id="4" name="Straight Arrow Connector 3"/>
        <xdr:cNvCxnSpPr/>
      </xdr:nvCxnSpPr>
      <xdr:spPr>
        <a:xfrm>
          <a:off x="2771775" y="12734925"/>
          <a:ext cx="44767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36</xdr:row>
      <xdr:rowOff>123825</xdr:rowOff>
    </xdr:from>
    <xdr:to>
      <xdr:col>5</xdr:col>
      <xdr:colOff>1047750</xdr:colOff>
      <xdr:row>38</xdr:row>
      <xdr:rowOff>19050</xdr:rowOff>
    </xdr:to>
    <xdr:sp macro="" textlink="">
      <xdr:nvSpPr>
        <xdr:cNvPr id="5" name="TextBox 4"/>
        <xdr:cNvSpPr txBox="1"/>
      </xdr:nvSpPr>
      <xdr:spPr>
        <a:xfrm>
          <a:off x="6705600" y="11210925"/>
          <a:ext cx="1847850" cy="657225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Total case service  expenditures from case service records</a:t>
          </a:r>
        </a:p>
      </xdr:txBody>
    </xdr:sp>
    <xdr:clientData/>
  </xdr:twoCellAnchor>
  <xdr:twoCellAnchor>
    <xdr:from>
      <xdr:col>2</xdr:col>
      <xdr:colOff>1104900</xdr:colOff>
      <xdr:row>36</xdr:row>
      <xdr:rowOff>238125</xdr:rowOff>
    </xdr:from>
    <xdr:to>
      <xdr:col>4</xdr:col>
      <xdr:colOff>438150</xdr:colOff>
      <xdr:row>37</xdr:row>
      <xdr:rowOff>66675</xdr:rowOff>
    </xdr:to>
    <xdr:cxnSp macro="">
      <xdr:nvCxnSpPr>
        <xdr:cNvPr id="7" name="Straight Arrow Connector 6"/>
        <xdr:cNvCxnSpPr/>
      </xdr:nvCxnSpPr>
      <xdr:spPr>
        <a:xfrm flipH="1" flipV="1">
          <a:off x="5010150" y="11325225"/>
          <a:ext cx="1685925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1162050</xdr:colOff>
      <xdr:row>37</xdr:row>
      <xdr:rowOff>85725</xdr:rowOff>
    </xdr:from>
    <xdr:to>
      <xdr:col>4</xdr:col>
      <xdr:colOff>428625</xdr:colOff>
      <xdr:row>37</xdr:row>
      <xdr:rowOff>190500</xdr:rowOff>
    </xdr:to>
    <xdr:cxnSp macro="">
      <xdr:nvCxnSpPr>
        <xdr:cNvPr id="9" name="Straight Arrow Connector 8"/>
        <xdr:cNvCxnSpPr/>
      </xdr:nvCxnSpPr>
      <xdr:spPr>
        <a:xfrm flipH="1">
          <a:off x="5067300" y="11553825"/>
          <a:ext cx="1619250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1152525</xdr:colOff>
      <xdr:row>37</xdr:row>
      <xdr:rowOff>71438</xdr:rowOff>
    </xdr:from>
    <xdr:to>
      <xdr:col>4</xdr:col>
      <xdr:colOff>447675</xdr:colOff>
      <xdr:row>38</xdr:row>
      <xdr:rowOff>180975</xdr:rowOff>
    </xdr:to>
    <xdr:cxnSp macro="">
      <xdr:nvCxnSpPr>
        <xdr:cNvPr id="11" name="Straight Arrow Connector 10"/>
        <xdr:cNvCxnSpPr>
          <a:stCxn id="5" idx="1"/>
        </xdr:cNvCxnSpPr>
      </xdr:nvCxnSpPr>
      <xdr:spPr>
        <a:xfrm flipH="1">
          <a:off x="5057775" y="11539538"/>
          <a:ext cx="1647825" cy="49053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1171575</xdr:colOff>
      <xdr:row>37</xdr:row>
      <xdr:rowOff>71438</xdr:rowOff>
    </xdr:from>
    <xdr:to>
      <xdr:col>4</xdr:col>
      <xdr:colOff>447675</xdr:colOff>
      <xdr:row>39</xdr:row>
      <xdr:rowOff>142875</xdr:rowOff>
    </xdr:to>
    <xdr:cxnSp macro="">
      <xdr:nvCxnSpPr>
        <xdr:cNvPr id="13" name="Straight Arrow Connector 12"/>
        <xdr:cNvCxnSpPr>
          <a:stCxn id="5" idx="1"/>
        </xdr:cNvCxnSpPr>
      </xdr:nvCxnSpPr>
      <xdr:spPr>
        <a:xfrm flipH="1">
          <a:off x="5076825" y="11539538"/>
          <a:ext cx="1628775" cy="83343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1171575</xdr:colOff>
      <xdr:row>37</xdr:row>
      <xdr:rowOff>71438</xdr:rowOff>
    </xdr:from>
    <xdr:to>
      <xdr:col>4</xdr:col>
      <xdr:colOff>447675</xdr:colOff>
      <xdr:row>40</xdr:row>
      <xdr:rowOff>200025</xdr:rowOff>
    </xdr:to>
    <xdr:cxnSp macro="">
      <xdr:nvCxnSpPr>
        <xdr:cNvPr id="15" name="Straight Arrow Connector 14"/>
        <xdr:cNvCxnSpPr>
          <a:stCxn id="5" idx="1"/>
        </xdr:cNvCxnSpPr>
      </xdr:nvCxnSpPr>
      <xdr:spPr>
        <a:xfrm flipH="1">
          <a:off x="5076825" y="11539538"/>
          <a:ext cx="1628775" cy="127158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38</xdr:row>
      <xdr:rowOff>304799</xdr:rowOff>
    </xdr:from>
    <xdr:to>
      <xdr:col>5</xdr:col>
      <xdr:colOff>771525</xdr:colOff>
      <xdr:row>40</xdr:row>
      <xdr:rowOff>0</xdr:rowOff>
    </xdr:to>
    <xdr:sp macro="" textlink="">
      <xdr:nvSpPr>
        <xdr:cNvPr id="16" name="TextBox 15"/>
        <xdr:cNvSpPr txBox="1"/>
      </xdr:nvSpPr>
      <xdr:spPr>
        <a:xfrm>
          <a:off x="6496050" y="10534649"/>
          <a:ext cx="1781175" cy="457201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Total</a:t>
          </a:r>
          <a:r>
            <a:rPr lang="en-US" sz="1100" b="1" baseline="0"/>
            <a:t> administrative expenditures </a:t>
          </a:r>
          <a:endParaRPr lang="en-US" sz="1100" b="1"/>
        </a:p>
      </xdr:txBody>
    </xdr:sp>
    <xdr:clientData/>
  </xdr:twoCellAnchor>
  <xdr:twoCellAnchor>
    <xdr:from>
      <xdr:col>2</xdr:col>
      <xdr:colOff>1171575</xdr:colOff>
      <xdr:row>39</xdr:row>
      <xdr:rowOff>247650</xdr:rowOff>
    </xdr:from>
    <xdr:to>
      <xdr:col>4</xdr:col>
      <xdr:colOff>228600</xdr:colOff>
      <xdr:row>41</xdr:row>
      <xdr:rowOff>95250</xdr:rowOff>
    </xdr:to>
    <xdr:cxnSp macro="">
      <xdr:nvCxnSpPr>
        <xdr:cNvPr id="18" name="Straight Arrow Connector 17"/>
        <xdr:cNvCxnSpPr/>
      </xdr:nvCxnSpPr>
      <xdr:spPr>
        <a:xfrm flipH="1">
          <a:off x="5076825" y="12477750"/>
          <a:ext cx="1409700" cy="6096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1295399</xdr:colOff>
      <xdr:row>44</xdr:row>
      <xdr:rowOff>219075</xdr:rowOff>
    </xdr:from>
    <xdr:to>
      <xdr:col>1</xdr:col>
      <xdr:colOff>66674</xdr:colOff>
      <xdr:row>49</xdr:row>
      <xdr:rowOff>171450</xdr:rowOff>
    </xdr:to>
    <xdr:sp macro="" textlink="">
      <xdr:nvSpPr>
        <xdr:cNvPr id="19" name="TextBox 18"/>
        <xdr:cNvSpPr txBox="1"/>
      </xdr:nvSpPr>
      <xdr:spPr>
        <a:xfrm>
          <a:off x="1295399" y="12544425"/>
          <a:ext cx="1362075" cy="112395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Number</a:t>
          </a:r>
          <a:r>
            <a:rPr lang="en-US" sz="1100" b="1" baseline="0"/>
            <a:t> of 26 closures multiplied by  Average Admin. Costs plus Total Case service costs of 26 Closures</a:t>
          </a:r>
          <a:endParaRPr lang="en-US" sz="1100" b="1"/>
        </a:p>
      </xdr:txBody>
    </xdr:sp>
    <xdr:clientData/>
  </xdr:twoCellAnchor>
  <xdr:twoCellAnchor>
    <xdr:from>
      <xdr:col>0</xdr:col>
      <xdr:colOff>2562225</xdr:colOff>
      <xdr:row>43</xdr:row>
      <xdr:rowOff>142875</xdr:rowOff>
    </xdr:from>
    <xdr:to>
      <xdr:col>2</xdr:col>
      <xdr:colOff>295275</xdr:colOff>
      <xdr:row>46</xdr:row>
      <xdr:rowOff>133350</xdr:rowOff>
    </xdr:to>
    <xdr:cxnSp macro="">
      <xdr:nvCxnSpPr>
        <xdr:cNvPr id="21" name="Straight Arrow Connector 20"/>
        <xdr:cNvCxnSpPr/>
      </xdr:nvCxnSpPr>
      <xdr:spPr>
        <a:xfrm flipV="1">
          <a:off x="2562225" y="13706475"/>
          <a:ext cx="1638300" cy="7524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123824</xdr:colOff>
      <xdr:row>41</xdr:row>
      <xdr:rowOff>361951</xdr:rowOff>
    </xdr:from>
    <xdr:to>
      <xdr:col>4</xdr:col>
      <xdr:colOff>1228725</xdr:colOff>
      <xdr:row>49</xdr:row>
      <xdr:rowOff>47626</xdr:rowOff>
    </xdr:to>
    <xdr:sp macro="" textlink="">
      <xdr:nvSpPr>
        <xdr:cNvPr id="22" name="TextBox 21"/>
        <xdr:cNvSpPr txBox="1"/>
      </xdr:nvSpPr>
      <xdr:spPr>
        <a:xfrm>
          <a:off x="6381749" y="11734801"/>
          <a:ext cx="1104901" cy="1809750"/>
        </a:xfrm>
        <a:prstGeom prst="rect">
          <a:avLst/>
        </a:prstGeom>
        <a:solidFill>
          <a:schemeClr val="accent3">
            <a:shade val="51000"/>
            <a:satMod val="130000"/>
          </a:schemeClr>
        </a:solidFill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26 Case service expenditures</a:t>
          </a:r>
          <a:endParaRPr lang="en-US" b="1">
            <a:solidFill>
              <a:schemeClr val="bg1"/>
            </a:solidFill>
            <a:effectLst/>
          </a:endParaRPr>
        </a:p>
        <a:p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+</a:t>
          </a:r>
          <a:endParaRPr lang="en-US" b="1">
            <a:solidFill>
              <a:schemeClr val="bg1"/>
            </a:solidFill>
            <a:effectLst/>
          </a:endParaRPr>
        </a:p>
        <a:p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28 Case service expenditures</a:t>
          </a:r>
          <a:endParaRPr lang="en-US" b="1">
            <a:solidFill>
              <a:schemeClr val="bg1"/>
            </a:solidFill>
            <a:effectLst/>
          </a:endParaRPr>
        </a:p>
        <a:p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+</a:t>
          </a:r>
          <a:endParaRPr lang="en-US" b="1">
            <a:solidFill>
              <a:schemeClr val="bg1"/>
            </a:solidFill>
            <a:effectLst/>
          </a:endParaRPr>
        </a:p>
        <a:p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(Total 26 +</a:t>
          </a:r>
          <a:r>
            <a:rPr lang="en-US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28 closures x Avg Administration  costs)</a:t>
          </a:r>
          <a:endParaRPr lang="en-US" b="1">
            <a:solidFill>
              <a:schemeClr val="bg1"/>
            </a:solidFill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1162050</xdr:colOff>
      <xdr:row>42</xdr:row>
      <xdr:rowOff>314325</xdr:rowOff>
    </xdr:from>
    <xdr:to>
      <xdr:col>4</xdr:col>
      <xdr:colOff>114300</xdr:colOff>
      <xdr:row>45</xdr:row>
      <xdr:rowOff>47625</xdr:rowOff>
    </xdr:to>
    <xdr:cxnSp macro="">
      <xdr:nvCxnSpPr>
        <xdr:cNvPr id="24" name="Straight Arrow Connector 23"/>
        <xdr:cNvCxnSpPr/>
      </xdr:nvCxnSpPr>
      <xdr:spPr>
        <a:xfrm flipH="1" flipV="1">
          <a:off x="5067300" y="13496925"/>
          <a:ext cx="1304925" cy="6858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44</xdr:row>
      <xdr:rowOff>152400</xdr:rowOff>
    </xdr:from>
    <xdr:to>
      <xdr:col>5</xdr:col>
      <xdr:colOff>1276350</xdr:colOff>
      <xdr:row>49</xdr:row>
      <xdr:rowOff>152400</xdr:rowOff>
    </xdr:to>
    <xdr:sp macro="" textlink="">
      <xdr:nvSpPr>
        <xdr:cNvPr id="25" name="TextBox 24"/>
        <xdr:cNvSpPr txBox="1"/>
      </xdr:nvSpPr>
      <xdr:spPr>
        <a:xfrm>
          <a:off x="7629525" y="13906500"/>
          <a:ext cx="1152525" cy="1171575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Total for Basic Support Program from the FSR (Financial Status Report)</a:t>
          </a:r>
        </a:p>
      </xdr:txBody>
    </xdr:sp>
    <xdr:clientData/>
  </xdr:twoCellAnchor>
  <xdr:twoCellAnchor>
    <xdr:from>
      <xdr:col>5</xdr:col>
      <xdr:colOff>695325</xdr:colOff>
      <xdr:row>43</xdr:row>
      <xdr:rowOff>9525</xdr:rowOff>
    </xdr:from>
    <xdr:to>
      <xdr:col>5</xdr:col>
      <xdr:colOff>752475</xdr:colOff>
      <xdr:row>44</xdr:row>
      <xdr:rowOff>133350</xdr:rowOff>
    </xdr:to>
    <xdr:cxnSp macro="">
      <xdr:nvCxnSpPr>
        <xdr:cNvPr id="27" name="Straight Arrow Connector 26"/>
        <xdr:cNvCxnSpPr/>
      </xdr:nvCxnSpPr>
      <xdr:spPr>
        <a:xfrm flipV="1">
          <a:off x="8201025" y="13573125"/>
          <a:ext cx="57150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51</xdr:row>
      <xdr:rowOff>133350</xdr:rowOff>
    </xdr:from>
    <xdr:to>
      <xdr:col>5</xdr:col>
      <xdr:colOff>1181100</xdr:colOff>
      <xdr:row>55</xdr:row>
      <xdr:rowOff>66675</xdr:rowOff>
    </xdr:to>
    <xdr:sp macro="" textlink="">
      <xdr:nvSpPr>
        <xdr:cNvPr id="28" name="TextBox 27"/>
        <xdr:cNvSpPr txBox="1"/>
      </xdr:nvSpPr>
      <xdr:spPr>
        <a:xfrm>
          <a:off x="7839075" y="15459075"/>
          <a:ext cx="847725" cy="895350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Data from  the case</a:t>
          </a:r>
          <a:r>
            <a:rPr lang="en-US" sz="1100" baseline="0"/>
            <a:t> service records</a:t>
          </a:r>
          <a:endParaRPr lang="en-US" sz="1100"/>
        </a:p>
      </xdr:txBody>
    </xdr:sp>
    <xdr:clientData/>
  </xdr:twoCellAnchor>
  <xdr:twoCellAnchor>
    <xdr:from>
      <xdr:col>4</xdr:col>
      <xdr:colOff>1228725</xdr:colOff>
      <xdr:row>52</xdr:row>
      <xdr:rowOff>104775</xdr:rowOff>
    </xdr:from>
    <xdr:to>
      <xdr:col>5</xdr:col>
      <xdr:colOff>333375</xdr:colOff>
      <xdr:row>54</xdr:row>
      <xdr:rowOff>0</xdr:rowOff>
    </xdr:to>
    <xdr:cxnSp macro="">
      <xdr:nvCxnSpPr>
        <xdr:cNvPr id="30" name="Straight Arrow Connector 29"/>
        <xdr:cNvCxnSpPr>
          <a:stCxn id="28" idx="1"/>
        </xdr:cNvCxnSpPr>
      </xdr:nvCxnSpPr>
      <xdr:spPr>
        <a:xfrm flipH="1" flipV="1">
          <a:off x="7486650" y="15630525"/>
          <a:ext cx="352425" cy="2762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54</xdr:row>
      <xdr:rowOff>0</xdr:rowOff>
    </xdr:from>
    <xdr:to>
      <xdr:col>5</xdr:col>
      <xdr:colOff>314325</xdr:colOff>
      <xdr:row>54</xdr:row>
      <xdr:rowOff>228600</xdr:rowOff>
    </xdr:to>
    <xdr:cxnSp macro="">
      <xdr:nvCxnSpPr>
        <xdr:cNvPr id="32" name="Straight Arrow Connector 31"/>
        <xdr:cNvCxnSpPr/>
      </xdr:nvCxnSpPr>
      <xdr:spPr>
        <a:xfrm flipH="1">
          <a:off x="7496175" y="15906750"/>
          <a:ext cx="323850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1228725</xdr:colOff>
      <xdr:row>54</xdr:row>
      <xdr:rowOff>9525</xdr:rowOff>
    </xdr:from>
    <xdr:to>
      <xdr:col>5</xdr:col>
      <xdr:colOff>323850</xdr:colOff>
      <xdr:row>55</xdr:row>
      <xdr:rowOff>95250</xdr:rowOff>
    </xdr:to>
    <xdr:cxnSp macro="">
      <xdr:nvCxnSpPr>
        <xdr:cNvPr id="34" name="Straight Arrow Connector 33"/>
        <xdr:cNvCxnSpPr/>
      </xdr:nvCxnSpPr>
      <xdr:spPr>
        <a:xfrm flipH="1">
          <a:off x="7486650" y="15916275"/>
          <a:ext cx="342900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6"/>
  <sheetViews>
    <sheetView tabSelected="1" zoomScale="80" zoomScaleNormal="80" workbookViewId="0">
      <selection sqref="A1:C2"/>
    </sheetView>
  </sheetViews>
  <sheetFormatPr defaultRowHeight="15" x14ac:dyDescent="0.2"/>
  <cols>
    <col min="1" max="1" width="41.5546875" customWidth="1"/>
    <col min="2" max="2" width="14.5546875" bestFit="1" customWidth="1"/>
    <col min="3" max="3" width="35.44140625" customWidth="1"/>
  </cols>
  <sheetData>
    <row r="1" spans="1:3" ht="15" customHeight="1" x14ac:dyDescent="0.2">
      <c r="A1" s="229" t="s">
        <v>141</v>
      </c>
      <c r="B1" s="230"/>
      <c r="C1" s="231"/>
    </row>
    <row r="2" spans="1:3" ht="15.75" customHeight="1" thickBot="1" x14ac:dyDescent="0.25">
      <c r="A2" s="232"/>
      <c r="B2" s="233"/>
      <c r="C2" s="234"/>
    </row>
    <row r="3" spans="1:3" ht="30" x14ac:dyDescent="0.2">
      <c r="A3" s="221" t="s">
        <v>142</v>
      </c>
      <c r="B3" s="212">
        <v>2205</v>
      </c>
      <c r="C3" s="219" t="s">
        <v>156</v>
      </c>
    </row>
    <row r="4" spans="1:3" ht="30" x14ac:dyDescent="0.2">
      <c r="A4" s="222" t="s">
        <v>143</v>
      </c>
      <c r="B4" s="213">
        <v>1491</v>
      </c>
      <c r="C4" s="207"/>
    </row>
    <row r="5" spans="1:3" ht="30" x14ac:dyDescent="0.25">
      <c r="A5" s="222" t="s">
        <v>144</v>
      </c>
      <c r="B5" s="213">
        <v>302</v>
      </c>
      <c r="C5" s="218"/>
    </row>
    <row r="6" spans="1:3" ht="30" x14ac:dyDescent="0.2">
      <c r="A6" s="222" t="s">
        <v>145</v>
      </c>
      <c r="B6" s="213">
        <v>1672</v>
      </c>
      <c r="C6" s="199"/>
    </row>
    <row r="7" spans="1:3" ht="30" x14ac:dyDescent="0.2">
      <c r="A7" s="222" t="s">
        <v>146</v>
      </c>
      <c r="B7" s="213">
        <v>51</v>
      </c>
      <c r="C7" s="199"/>
    </row>
    <row r="8" spans="1:3" ht="30" x14ac:dyDescent="0.2">
      <c r="A8" s="220" t="s">
        <v>173</v>
      </c>
      <c r="B8" s="213">
        <v>19477</v>
      </c>
      <c r="C8" s="199"/>
    </row>
    <row r="9" spans="1:3" ht="30" x14ac:dyDescent="0.2">
      <c r="A9" s="220" t="s">
        <v>191</v>
      </c>
      <c r="B9" s="49">
        <v>23041806</v>
      </c>
      <c r="C9" s="207" t="s">
        <v>192</v>
      </c>
    </row>
    <row r="10" spans="1:3" ht="45" x14ac:dyDescent="0.2">
      <c r="A10" s="220" t="s">
        <v>193</v>
      </c>
      <c r="B10" s="49">
        <v>5555477.29</v>
      </c>
      <c r="C10" s="199" t="s">
        <v>194</v>
      </c>
    </row>
    <row r="11" spans="1:3" x14ac:dyDescent="0.2">
      <c r="A11" s="223" t="s">
        <v>134</v>
      </c>
      <c r="B11" s="214">
        <f>SUM(B9:B10)</f>
        <v>28597283.289999999</v>
      </c>
      <c r="C11" s="199"/>
    </row>
    <row r="12" spans="1:3" ht="30" x14ac:dyDescent="0.2">
      <c r="A12" s="224" t="s">
        <v>147</v>
      </c>
      <c r="B12" s="214">
        <v>9455085.9700000007</v>
      </c>
      <c r="C12" s="207" t="s">
        <v>157</v>
      </c>
    </row>
    <row r="13" spans="1:3" ht="30" x14ac:dyDescent="0.2">
      <c r="A13" s="225" t="s">
        <v>148</v>
      </c>
      <c r="B13" s="214">
        <v>46342816.759999998</v>
      </c>
      <c r="C13" s="207" t="s">
        <v>158</v>
      </c>
    </row>
    <row r="14" spans="1:3" ht="30" x14ac:dyDescent="0.2">
      <c r="A14" s="226" t="s">
        <v>139</v>
      </c>
      <c r="B14" s="49">
        <f>+B13-B12</f>
        <v>36887730.789999999</v>
      </c>
      <c r="C14" s="207" t="s">
        <v>159</v>
      </c>
    </row>
    <row r="15" spans="1:3" ht="60" x14ac:dyDescent="0.2">
      <c r="A15" s="225" t="s">
        <v>149</v>
      </c>
      <c r="B15" s="215">
        <v>122</v>
      </c>
      <c r="C15" s="199"/>
    </row>
    <row r="16" spans="1:3" ht="60" x14ac:dyDescent="0.2">
      <c r="A16" s="225" t="s">
        <v>150</v>
      </c>
      <c r="B16" s="214">
        <v>74199.17</v>
      </c>
      <c r="C16" s="199"/>
    </row>
    <row r="17" spans="1:8" ht="75" x14ac:dyDescent="0.2">
      <c r="A17" s="225" t="s">
        <v>189</v>
      </c>
      <c r="B17" s="216">
        <v>199</v>
      </c>
      <c r="C17" s="199"/>
    </row>
    <row r="18" spans="1:8" ht="75" x14ac:dyDescent="0.2">
      <c r="A18" s="225" t="s">
        <v>190</v>
      </c>
      <c r="B18" s="214">
        <v>108831</v>
      </c>
      <c r="C18" s="199"/>
    </row>
    <row r="19" spans="1:8" ht="45" x14ac:dyDescent="0.2">
      <c r="A19" s="225" t="s">
        <v>151</v>
      </c>
      <c r="B19" s="25">
        <v>8907340.9199999999</v>
      </c>
      <c r="C19" s="207" t="s">
        <v>160</v>
      </c>
      <c r="D19" s="217"/>
      <c r="E19" s="217"/>
      <c r="F19" s="217"/>
      <c r="G19" s="217"/>
      <c r="H19" s="217"/>
    </row>
    <row r="20" spans="1:8" ht="45" x14ac:dyDescent="0.2">
      <c r="A20" s="225" t="s">
        <v>152</v>
      </c>
      <c r="B20" s="25">
        <v>2234215.31</v>
      </c>
      <c r="C20" s="207" t="s">
        <v>161</v>
      </c>
      <c r="D20" s="217"/>
      <c r="E20" s="217"/>
      <c r="F20" s="217"/>
      <c r="G20" s="217"/>
      <c r="H20" s="217"/>
    </row>
    <row r="21" spans="1:8" ht="60" x14ac:dyDescent="0.2">
      <c r="A21" s="225" t="s">
        <v>153</v>
      </c>
      <c r="B21" s="25">
        <v>9492.4500000000007</v>
      </c>
      <c r="C21" s="207" t="s">
        <v>164</v>
      </c>
      <c r="D21" s="217"/>
      <c r="E21" s="217"/>
      <c r="F21" s="217"/>
      <c r="G21" s="217"/>
      <c r="H21" s="217"/>
    </row>
    <row r="22" spans="1:8" ht="45" x14ac:dyDescent="0.2">
      <c r="A22" s="225" t="s">
        <v>154</v>
      </c>
      <c r="B22" s="25">
        <v>189462.32</v>
      </c>
      <c r="C22" s="207" t="s">
        <v>162</v>
      </c>
      <c r="D22" s="217"/>
      <c r="E22" s="217"/>
      <c r="F22" s="217"/>
      <c r="G22" s="217"/>
      <c r="H22" s="217"/>
    </row>
    <row r="23" spans="1:8" ht="45" x14ac:dyDescent="0.2">
      <c r="A23" s="225" t="s">
        <v>155</v>
      </c>
      <c r="B23" s="25">
        <v>1003</v>
      </c>
      <c r="C23" s="207" t="s">
        <v>163</v>
      </c>
      <c r="D23" s="217"/>
      <c r="E23" s="217"/>
      <c r="F23" s="217"/>
      <c r="G23" s="217"/>
      <c r="H23" s="217"/>
    </row>
    <row r="24" spans="1:8" x14ac:dyDescent="0.2">
      <c r="A24" s="227" t="s">
        <v>195</v>
      </c>
      <c r="B24" s="210">
        <v>6442958</v>
      </c>
      <c r="C24" s="47" t="s">
        <v>197</v>
      </c>
    </row>
    <row r="25" spans="1:8" ht="30" x14ac:dyDescent="0.2">
      <c r="A25" s="225" t="s">
        <v>196</v>
      </c>
      <c r="B25" s="200">
        <v>30564975</v>
      </c>
      <c r="C25" s="47" t="s">
        <v>198</v>
      </c>
    </row>
    <row r="26" spans="1:8" x14ac:dyDescent="0.2">
      <c r="B26" s="228"/>
    </row>
  </sheetData>
  <mergeCells count="1">
    <mergeCell ref="A1:C2"/>
  </mergeCells>
  <printOptions headings="1"/>
  <pageMargins left="0.15" right="0.15" top="0.15" bottom="0.15" header="0.15" footer="0.15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07"/>
  <sheetViews>
    <sheetView view="pageBreakPreview" zoomScale="90" zoomScaleNormal="100" zoomScaleSheetLayoutView="90" workbookViewId="0">
      <selection activeCell="B96" sqref="B96"/>
    </sheetView>
  </sheetViews>
  <sheetFormatPr defaultColWidth="7.33203125" defaultRowHeight="15" x14ac:dyDescent="0.2"/>
  <cols>
    <col min="1" max="1" width="12.6640625" customWidth="1"/>
    <col min="2" max="2" width="12.44140625" customWidth="1"/>
    <col min="3" max="3" width="12.44140625" bestFit="1" customWidth="1"/>
    <col min="4" max="4" width="13.5546875" bestFit="1" customWidth="1"/>
    <col min="5" max="5" width="13.109375" hidden="1" customWidth="1"/>
    <col min="6" max="6" width="13.5546875" bestFit="1" customWidth="1"/>
    <col min="7" max="10" width="13.109375" hidden="1" customWidth="1"/>
    <col min="11" max="11" width="13.5546875" bestFit="1" customWidth="1"/>
    <col min="12" max="30" width="13.109375" hidden="1" customWidth="1"/>
    <col min="31" max="31" width="13.5546875" bestFit="1" customWidth="1"/>
  </cols>
  <sheetData>
    <row r="1" spans="1:33" ht="36" thickBot="1" x14ac:dyDescent="0.55000000000000004">
      <c r="A1" s="235" t="s">
        <v>27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7"/>
      <c r="AG1" s="46" t="s">
        <v>165</v>
      </c>
    </row>
    <row r="2" spans="1:33" ht="16.5" thickBot="1" x14ac:dyDescent="0.3">
      <c r="A2" s="106" t="s">
        <v>89</v>
      </c>
      <c r="B2" s="107" t="s">
        <v>84</v>
      </c>
      <c r="C2" s="108"/>
      <c r="D2" s="107" t="s">
        <v>88</v>
      </c>
      <c r="E2" s="107"/>
      <c r="F2" s="108"/>
      <c r="G2" s="108"/>
      <c r="H2" s="108"/>
      <c r="I2" s="108"/>
      <c r="J2" s="108"/>
      <c r="K2" s="107" t="s">
        <v>85</v>
      </c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9"/>
    </row>
    <row r="3" spans="1:33" x14ac:dyDescent="0.2">
      <c r="A3" s="54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57"/>
    </row>
    <row r="4" spans="1:33" ht="15.75" x14ac:dyDescent="0.25">
      <c r="A4" s="110"/>
      <c r="B4" s="102" t="s">
        <v>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11"/>
    </row>
    <row r="5" spans="1:33" s="46" customFormat="1" ht="15.75" x14ac:dyDescent="0.25">
      <c r="A5" s="19" t="s">
        <v>28</v>
      </c>
      <c r="B5" s="104" t="s">
        <v>18</v>
      </c>
      <c r="C5" s="104" t="s">
        <v>29</v>
      </c>
      <c r="D5" s="104" t="s">
        <v>19</v>
      </c>
      <c r="E5" s="104" t="s">
        <v>30</v>
      </c>
      <c r="F5" s="104" t="s">
        <v>20</v>
      </c>
      <c r="G5" s="104" t="s">
        <v>31</v>
      </c>
      <c r="H5" s="104" t="s">
        <v>32</v>
      </c>
      <c r="I5" s="104" t="s">
        <v>33</v>
      </c>
      <c r="J5" s="104" t="s">
        <v>34</v>
      </c>
      <c r="K5" s="104" t="s">
        <v>21</v>
      </c>
      <c r="L5" s="104" t="s">
        <v>35</v>
      </c>
      <c r="M5" s="104" t="s">
        <v>36</v>
      </c>
      <c r="N5" s="104" t="s">
        <v>37</v>
      </c>
      <c r="O5" s="104" t="s">
        <v>38</v>
      </c>
      <c r="P5" s="104" t="s">
        <v>39</v>
      </c>
      <c r="Q5" s="104" t="s">
        <v>40</v>
      </c>
      <c r="R5" s="104" t="s">
        <v>41</v>
      </c>
      <c r="S5" s="104" t="s">
        <v>42</v>
      </c>
      <c r="T5" s="104" t="s">
        <v>43</v>
      </c>
      <c r="U5" s="104" t="s">
        <v>44</v>
      </c>
      <c r="V5" s="104" t="s">
        <v>45</v>
      </c>
      <c r="W5" s="104" t="s">
        <v>46</v>
      </c>
      <c r="X5" s="104" t="s">
        <v>47</v>
      </c>
      <c r="Y5" s="104" t="s">
        <v>48</v>
      </c>
      <c r="Z5" s="104" t="s">
        <v>49</v>
      </c>
      <c r="AA5" s="104" t="s">
        <v>50</v>
      </c>
      <c r="AB5" s="104" t="s">
        <v>51</v>
      </c>
      <c r="AC5" s="104" t="s">
        <v>52</v>
      </c>
      <c r="AD5" s="104" t="s">
        <v>53</v>
      </c>
      <c r="AE5" s="105" t="s">
        <v>54</v>
      </c>
    </row>
    <row r="6" spans="1:33" x14ac:dyDescent="0.2">
      <c r="A6" s="97">
        <v>0.1</v>
      </c>
      <c r="B6" s="200">
        <f>+'Entry Required'!B14</f>
        <v>36887730.789999999</v>
      </c>
      <c r="C6" s="25">
        <f>(+B6/(1+$A$6))</f>
        <v>33534300.718181815</v>
      </c>
      <c r="D6" s="25">
        <f>(+C6/(1+$A$6))</f>
        <v>30485727.925619829</v>
      </c>
      <c r="E6" s="25">
        <f t="shared" ref="E6:AE6" si="0">(+D6/(1+$A$6))</f>
        <v>27714298.114199843</v>
      </c>
      <c r="F6" s="25">
        <f t="shared" si="0"/>
        <v>25194816.4674544</v>
      </c>
      <c r="G6" s="25">
        <f t="shared" si="0"/>
        <v>22904378.606776726</v>
      </c>
      <c r="H6" s="25">
        <f t="shared" si="0"/>
        <v>20822162.369797021</v>
      </c>
      <c r="I6" s="25">
        <f t="shared" si="0"/>
        <v>18929238.517997291</v>
      </c>
      <c r="J6" s="25">
        <f t="shared" si="0"/>
        <v>17208398.65272481</v>
      </c>
      <c r="K6" s="25">
        <f t="shared" si="0"/>
        <v>15643998.775204372</v>
      </c>
      <c r="L6" s="25">
        <f t="shared" si="0"/>
        <v>14221817.06836761</v>
      </c>
      <c r="M6" s="25">
        <f t="shared" si="0"/>
        <v>12928924.607606918</v>
      </c>
      <c r="N6" s="25">
        <f t="shared" si="0"/>
        <v>11753567.825097198</v>
      </c>
      <c r="O6" s="25">
        <f t="shared" si="0"/>
        <v>10685061.65917927</v>
      </c>
      <c r="P6" s="25">
        <f t="shared" si="0"/>
        <v>9713692.4174357001</v>
      </c>
      <c r="Q6" s="25">
        <f t="shared" si="0"/>
        <v>8830629.4703960903</v>
      </c>
      <c r="R6" s="25">
        <f t="shared" si="0"/>
        <v>8027844.9730873546</v>
      </c>
      <c r="S6" s="25">
        <f t="shared" si="0"/>
        <v>7298040.8846248668</v>
      </c>
      <c r="T6" s="25">
        <f t="shared" si="0"/>
        <v>6634582.6223862423</v>
      </c>
      <c r="U6" s="25">
        <f t="shared" si="0"/>
        <v>6031438.7476238562</v>
      </c>
      <c r="V6" s="25">
        <f t="shared" si="0"/>
        <v>5483126.1342035048</v>
      </c>
      <c r="W6" s="25">
        <f t="shared" si="0"/>
        <v>4984660.1220031856</v>
      </c>
      <c r="X6" s="25">
        <f t="shared" si="0"/>
        <v>4531509.2018210776</v>
      </c>
      <c r="Y6" s="25">
        <f t="shared" si="0"/>
        <v>4119553.8198373429</v>
      </c>
      <c r="Z6" s="25">
        <f t="shared" si="0"/>
        <v>3745048.927124857</v>
      </c>
      <c r="AA6" s="25">
        <f t="shared" si="0"/>
        <v>3404589.9337498699</v>
      </c>
      <c r="AB6" s="25">
        <f t="shared" si="0"/>
        <v>3095081.757954427</v>
      </c>
      <c r="AC6" s="25">
        <f t="shared" si="0"/>
        <v>2813710.6890494791</v>
      </c>
      <c r="AD6" s="25">
        <f t="shared" si="0"/>
        <v>2557918.8082267991</v>
      </c>
      <c r="AE6" s="29">
        <f t="shared" si="0"/>
        <v>2325380.7347516352</v>
      </c>
    </row>
    <row r="7" spans="1:33" x14ac:dyDescent="0.2">
      <c r="A7" s="97"/>
      <c r="B7" s="25">
        <f>+B6</f>
        <v>36887730.789999999</v>
      </c>
      <c r="C7" s="25">
        <f t="shared" ref="C7:AE7" si="1">+C6+B7</f>
        <v>70422031.50818181</v>
      </c>
      <c r="D7" s="25">
        <f t="shared" si="1"/>
        <v>100907759.43380164</v>
      </c>
      <c r="E7" s="25">
        <f t="shared" si="1"/>
        <v>128622057.54800148</v>
      </c>
      <c r="F7" s="25">
        <f t="shared" si="1"/>
        <v>153816874.01545587</v>
      </c>
      <c r="G7" s="25">
        <f t="shared" si="1"/>
        <v>176721252.62223259</v>
      </c>
      <c r="H7" s="25">
        <f t="shared" si="1"/>
        <v>197543414.99202961</v>
      </c>
      <c r="I7" s="25">
        <f t="shared" si="1"/>
        <v>216472653.5100269</v>
      </c>
      <c r="J7" s="25">
        <f t="shared" si="1"/>
        <v>233681052.1627517</v>
      </c>
      <c r="K7" s="25">
        <f t="shared" si="1"/>
        <v>249325050.93795606</v>
      </c>
      <c r="L7" s="25">
        <f t="shared" si="1"/>
        <v>263546868.00632367</v>
      </c>
      <c r="M7" s="25">
        <f t="shared" si="1"/>
        <v>276475792.61393058</v>
      </c>
      <c r="N7" s="25">
        <f t="shared" si="1"/>
        <v>288229360.43902779</v>
      </c>
      <c r="O7" s="25">
        <f t="shared" si="1"/>
        <v>298914422.09820706</v>
      </c>
      <c r="P7" s="25">
        <f t="shared" si="1"/>
        <v>308628114.51564276</v>
      </c>
      <c r="Q7" s="25">
        <f t="shared" si="1"/>
        <v>317458743.98603886</v>
      </c>
      <c r="R7" s="25">
        <f t="shared" si="1"/>
        <v>325486588.95912623</v>
      </c>
      <c r="S7" s="25">
        <f t="shared" si="1"/>
        <v>332784629.84375107</v>
      </c>
      <c r="T7" s="25">
        <f t="shared" si="1"/>
        <v>339419212.46613729</v>
      </c>
      <c r="U7" s="25">
        <f t="shared" si="1"/>
        <v>345450651.21376115</v>
      </c>
      <c r="V7" s="25">
        <f t="shared" si="1"/>
        <v>350933777.34796464</v>
      </c>
      <c r="W7" s="25">
        <f t="shared" si="1"/>
        <v>355918437.46996784</v>
      </c>
      <c r="X7" s="25">
        <f t="shared" si="1"/>
        <v>360449946.67178893</v>
      </c>
      <c r="Y7" s="25">
        <f t="shared" si="1"/>
        <v>364569500.49162626</v>
      </c>
      <c r="Z7" s="25">
        <f t="shared" si="1"/>
        <v>368314549.41875112</v>
      </c>
      <c r="AA7" s="25">
        <f t="shared" si="1"/>
        <v>371719139.35250098</v>
      </c>
      <c r="AB7" s="25">
        <f t="shared" si="1"/>
        <v>374814221.11045539</v>
      </c>
      <c r="AC7" s="25">
        <f t="shared" si="1"/>
        <v>377627931.79950488</v>
      </c>
      <c r="AD7" s="25">
        <f t="shared" si="1"/>
        <v>380185850.6077317</v>
      </c>
      <c r="AE7" s="29">
        <f t="shared" si="1"/>
        <v>382511231.34248334</v>
      </c>
    </row>
    <row r="8" spans="1:33" x14ac:dyDescent="0.2">
      <c r="A8" s="97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9"/>
    </row>
    <row r="9" spans="1:33" x14ac:dyDescent="0.2">
      <c r="A9" s="97">
        <v>7.0000000000000007E-2</v>
      </c>
      <c r="B9" s="25">
        <f>+B6</f>
        <v>36887730.789999999</v>
      </c>
      <c r="C9" s="25">
        <f>(+B9/(1+$A$9))</f>
        <v>34474514.757009342</v>
      </c>
      <c r="D9" s="25">
        <f t="shared" ref="D9:AE9" si="2">(+C9/(1+$A$9))</f>
        <v>32219172.670102187</v>
      </c>
      <c r="E9" s="25">
        <f t="shared" si="2"/>
        <v>30111376.327198304</v>
      </c>
      <c r="F9" s="25">
        <f t="shared" si="2"/>
        <v>28141473.202989068</v>
      </c>
      <c r="G9" s="25">
        <f t="shared" si="2"/>
        <v>26300442.245784175</v>
      </c>
      <c r="H9" s="25">
        <f t="shared" si="2"/>
        <v>24579852.566153433</v>
      </c>
      <c r="I9" s="25">
        <f t="shared" si="2"/>
        <v>22971824.828180779</v>
      </c>
      <c r="J9" s="25">
        <f t="shared" si="2"/>
        <v>21468995.16652409</v>
      </c>
      <c r="K9" s="25">
        <f t="shared" si="2"/>
        <v>20064481.464041203</v>
      </c>
      <c r="L9" s="25">
        <f t="shared" si="2"/>
        <v>18751851.835552525</v>
      </c>
      <c r="M9" s="25">
        <f t="shared" si="2"/>
        <v>17525095.173413575</v>
      </c>
      <c r="N9" s="25">
        <f t="shared" si="2"/>
        <v>16378593.620012686</v>
      </c>
      <c r="O9" s="25">
        <f t="shared" si="2"/>
        <v>15307096.841133351</v>
      </c>
      <c r="P9" s="25">
        <f t="shared" si="2"/>
        <v>14305697.982367616</v>
      </c>
      <c r="Q9" s="25">
        <f t="shared" si="2"/>
        <v>13369811.198474407</v>
      </c>
      <c r="R9" s="25">
        <f t="shared" si="2"/>
        <v>12495150.652779819</v>
      </c>
      <c r="S9" s="25">
        <f t="shared" si="2"/>
        <v>11677710.890448429</v>
      </c>
      <c r="T9" s="25">
        <f t="shared" si="2"/>
        <v>10913748.495746195</v>
      </c>
      <c r="U9" s="25">
        <f t="shared" si="2"/>
        <v>10199764.94929551</v>
      </c>
      <c r="V9" s="25">
        <f t="shared" si="2"/>
        <v>9532490.6068182327</v>
      </c>
      <c r="W9" s="25">
        <f t="shared" si="2"/>
        <v>8908869.7259983476</v>
      </c>
      <c r="X9" s="25">
        <f t="shared" si="2"/>
        <v>8326046.4728956511</v>
      </c>
      <c r="Y9" s="25">
        <f t="shared" si="2"/>
        <v>7781351.8438277105</v>
      </c>
      <c r="Z9" s="25">
        <f t="shared" si="2"/>
        <v>7272291.4428296359</v>
      </c>
      <c r="AA9" s="25">
        <f t="shared" si="2"/>
        <v>6796534.0587192858</v>
      </c>
      <c r="AB9" s="25">
        <f t="shared" si="2"/>
        <v>6351900.9894572757</v>
      </c>
      <c r="AC9" s="25">
        <f t="shared" si="2"/>
        <v>5936356.0649133418</v>
      </c>
      <c r="AD9" s="25">
        <f t="shared" si="2"/>
        <v>5547996.3223489169</v>
      </c>
      <c r="AE9" s="29">
        <f t="shared" si="2"/>
        <v>5185043.2919148756</v>
      </c>
    </row>
    <row r="10" spans="1:33" x14ac:dyDescent="0.2">
      <c r="A10" s="97"/>
      <c r="B10" s="25">
        <f>+B9</f>
        <v>36887730.789999999</v>
      </c>
      <c r="C10" s="25">
        <f t="shared" ref="C10:AE10" si="3">+C9+B10</f>
        <v>71362245.547009349</v>
      </c>
      <c r="D10" s="25">
        <f t="shared" si="3"/>
        <v>103581418.21711153</v>
      </c>
      <c r="E10" s="25">
        <f t="shared" si="3"/>
        <v>133692794.54430982</v>
      </c>
      <c r="F10" s="25">
        <f t="shared" si="3"/>
        <v>161834267.7472989</v>
      </c>
      <c r="G10" s="25">
        <f t="shared" si="3"/>
        <v>188134709.99308306</v>
      </c>
      <c r="H10" s="25">
        <f t="shared" si="3"/>
        <v>212714562.5592365</v>
      </c>
      <c r="I10" s="25">
        <f t="shared" si="3"/>
        <v>235686387.38741729</v>
      </c>
      <c r="J10" s="25">
        <f t="shared" si="3"/>
        <v>257155382.55394137</v>
      </c>
      <c r="K10" s="25">
        <f t="shared" si="3"/>
        <v>277219864.0179826</v>
      </c>
      <c r="L10" s="25">
        <f t="shared" si="3"/>
        <v>295971715.85353512</v>
      </c>
      <c r="M10" s="25">
        <f t="shared" si="3"/>
        <v>313496811.02694869</v>
      </c>
      <c r="N10" s="25">
        <f t="shared" si="3"/>
        <v>329875404.64696139</v>
      </c>
      <c r="O10" s="25">
        <f t="shared" si="3"/>
        <v>345182501.48809475</v>
      </c>
      <c r="P10" s="25">
        <f t="shared" si="3"/>
        <v>359488199.47046238</v>
      </c>
      <c r="Q10" s="25">
        <f t="shared" si="3"/>
        <v>372858010.66893679</v>
      </c>
      <c r="R10" s="25">
        <f t="shared" si="3"/>
        <v>385353161.32171661</v>
      </c>
      <c r="S10" s="25">
        <f t="shared" si="3"/>
        <v>397030872.21216506</v>
      </c>
      <c r="T10" s="25">
        <f t="shared" si="3"/>
        <v>407944620.70791125</v>
      </c>
      <c r="U10" s="25">
        <f t="shared" si="3"/>
        <v>418144385.65720677</v>
      </c>
      <c r="V10" s="25">
        <f t="shared" si="3"/>
        <v>427676876.26402503</v>
      </c>
      <c r="W10" s="25">
        <f t="shared" si="3"/>
        <v>436585745.99002337</v>
      </c>
      <c r="X10" s="25">
        <f t="shared" si="3"/>
        <v>444911792.462919</v>
      </c>
      <c r="Y10" s="25">
        <f t="shared" si="3"/>
        <v>452693144.30674672</v>
      </c>
      <c r="Z10" s="25">
        <f t="shared" si="3"/>
        <v>459965435.74957633</v>
      </c>
      <c r="AA10" s="25">
        <f t="shared" si="3"/>
        <v>466761969.80829561</v>
      </c>
      <c r="AB10" s="25">
        <f t="shared" si="3"/>
        <v>473113870.79775286</v>
      </c>
      <c r="AC10" s="25">
        <f t="shared" si="3"/>
        <v>479050226.86266619</v>
      </c>
      <c r="AD10" s="25">
        <f t="shared" si="3"/>
        <v>484598223.18501508</v>
      </c>
      <c r="AE10" s="29">
        <f t="shared" si="3"/>
        <v>489783266.47692996</v>
      </c>
    </row>
    <row r="11" spans="1:33" x14ac:dyDescent="0.2">
      <c r="A11" s="97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9"/>
    </row>
    <row r="12" spans="1:33" x14ac:dyDescent="0.2">
      <c r="A12" s="97">
        <v>0.05</v>
      </c>
      <c r="B12" s="25">
        <f>+B6</f>
        <v>36887730.789999999</v>
      </c>
      <c r="C12" s="25">
        <f>(+B12/(1+$A$12))</f>
        <v>35131172.180952378</v>
      </c>
      <c r="D12" s="25">
        <f t="shared" ref="D12:AE12" si="4">(+C12/(1+$A$12))</f>
        <v>33458259.219954643</v>
      </c>
      <c r="E12" s="25">
        <f t="shared" si="4"/>
        <v>31865008.780909184</v>
      </c>
      <c r="F12" s="25">
        <f t="shared" si="4"/>
        <v>30347627.410389699</v>
      </c>
      <c r="G12" s="25">
        <f t="shared" si="4"/>
        <v>28902502.295609236</v>
      </c>
      <c r="H12" s="25">
        <f t="shared" si="4"/>
        <v>27526192.662484985</v>
      </c>
      <c r="I12" s="25">
        <f t="shared" si="4"/>
        <v>26215421.583319031</v>
      </c>
      <c r="J12" s="25">
        <f t="shared" si="4"/>
        <v>24967068.174589552</v>
      </c>
      <c r="K12" s="25">
        <f t="shared" si="4"/>
        <v>23778160.166275762</v>
      </c>
      <c r="L12" s="25">
        <f t="shared" si="4"/>
        <v>22645866.825024534</v>
      </c>
      <c r="M12" s="25">
        <f t="shared" si="4"/>
        <v>21567492.214309078</v>
      </c>
      <c r="N12" s="25">
        <f t="shared" si="4"/>
        <v>20540468.775532454</v>
      </c>
      <c r="O12" s="25">
        <f t="shared" si="4"/>
        <v>19562351.214792814</v>
      </c>
      <c r="P12" s="25">
        <f t="shared" si="4"/>
        <v>18630810.68075506</v>
      </c>
      <c r="Q12" s="25">
        <f t="shared" si="4"/>
        <v>17743629.219766725</v>
      </c>
      <c r="R12" s="25">
        <f t="shared" si="4"/>
        <v>16898694.495015927</v>
      </c>
      <c r="S12" s="25">
        <f t="shared" si="4"/>
        <v>16093994.757158024</v>
      </c>
      <c r="T12" s="25">
        <f t="shared" si="4"/>
        <v>15327614.054436212</v>
      </c>
      <c r="U12" s="25">
        <f t="shared" si="4"/>
        <v>14597727.67089163</v>
      </c>
      <c r="V12" s="25">
        <f t="shared" si="4"/>
        <v>13902597.781801552</v>
      </c>
      <c r="W12" s="25">
        <f t="shared" si="4"/>
        <v>13240569.316001477</v>
      </c>
      <c r="X12" s="25">
        <f t="shared" si="4"/>
        <v>12610066.015239501</v>
      </c>
      <c r="Y12" s="25">
        <f t="shared" si="4"/>
        <v>12009586.681180477</v>
      </c>
      <c r="Z12" s="25">
        <f t="shared" si="4"/>
        <v>11437701.601124264</v>
      </c>
      <c r="AA12" s="25">
        <f t="shared" si="4"/>
        <v>10893049.14392787</v>
      </c>
      <c r="AB12" s="25">
        <f t="shared" si="4"/>
        <v>10374332.518026542</v>
      </c>
      <c r="AC12" s="25">
        <f t="shared" si="4"/>
        <v>9880316.6838348005</v>
      </c>
      <c r="AD12" s="25">
        <f t="shared" si="4"/>
        <v>9409825.4131760001</v>
      </c>
      <c r="AE12" s="29">
        <f t="shared" si="4"/>
        <v>8961738.4887390472</v>
      </c>
    </row>
    <row r="13" spans="1:33" x14ac:dyDescent="0.2">
      <c r="A13" s="97"/>
      <c r="B13" s="25">
        <f>+B12</f>
        <v>36887730.789999999</v>
      </c>
      <c r="C13" s="25">
        <f>+C12+B13</f>
        <v>72018902.970952377</v>
      </c>
      <c r="D13" s="25">
        <f t="shared" ref="D13:AE13" si="5">+D12+C13</f>
        <v>105477162.19090702</v>
      </c>
      <c r="E13" s="25">
        <f t="shared" si="5"/>
        <v>137342170.97181621</v>
      </c>
      <c r="F13" s="25">
        <f t="shared" si="5"/>
        <v>167689798.3822059</v>
      </c>
      <c r="G13" s="25">
        <f t="shared" si="5"/>
        <v>196592300.67781514</v>
      </c>
      <c r="H13" s="25">
        <f t="shared" si="5"/>
        <v>224118493.34030011</v>
      </c>
      <c r="I13" s="25">
        <f t="shared" si="5"/>
        <v>250333914.92361915</v>
      </c>
      <c r="J13" s="25">
        <f t="shared" si="5"/>
        <v>275300983.09820873</v>
      </c>
      <c r="K13" s="25">
        <f t="shared" si="5"/>
        <v>299079143.26448447</v>
      </c>
      <c r="L13" s="25">
        <f t="shared" si="5"/>
        <v>321725010.08950901</v>
      </c>
      <c r="M13" s="25">
        <f t="shared" si="5"/>
        <v>343292502.30381811</v>
      </c>
      <c r="N13" s="25">
        <f t="shared" si="5"/>
        <v>363832971.07935059</v>
      </c>
      <c r="O13" s="25">
        <f t="shared" si="5"/>
        <v>383395322.29414338</v>
      </c>
      <c r="P13" s="25">
        <f t="shared" si="5"/>
        <v>402026132.97489846</v>
      </c>
      <c r="Q13" s="25">
        <f t="shared" si="5"/>
        <v>419769762.19466519</v>
      </c>
      <c r="R13" s="25">
        <f t="shared" si="5"/>
        <v>436668456.68968111</v>
      </c>
      <c r="S13" s="25">
        <f t="shared" si="5"/>
        <v>452762451.44683915</v>
      </c>
      <c r="T13" s="25">
        <f t="shared" si="5"/>
        <v>468090065.50127536</v>
      </c>
      <c r="U13" s="25">
        <f t="shared" si="5"/>
        <v>482687793.172167</v>
      </c>
      <c r="V13" s="25">
        <f t="shared" si="5"/>
        <v>496590390.95396852</v>
      </c>
      <c r="W13" s="25">
        <f t="shared" si="5"/>
        <v>509830960.26997</v>
      </c>
      <c r="X13" s="25">
        <f t="shared" si="5"/>
        <v>522441026.28520948</v>
      </c>
      <c r="Y13" s="25">
        <f t="shared" si="5"/>
        <v>534450612.96638995</v>
      </c>
      <c r="Z13" s="25">
        <f t="shared" si="5"/>
        <v>545888314.56751418</v>
      </c>
      <c r="AA13" s="25">
        <f t="shared" si="5"/>
        <v>556781363.71144199</v>
      </c>
      <c r="AB13" s="25">
        <f t="shared" si="5"/>
        <v>567155696.22946858</v>
      </c>
      <c r="AC13" s="25">
        <f t="shared" si="5"/>
        <v>577036012.91330338</v>
      </c>
      <c r="AD13" s="25">
        <f t="shared" si="5"/>
        <v>586445838.32647943</v>
      </c>
      <c r="AE13" s="29">
        <f t="shared" si="5"/>
        <v>595407576.81521845</v>
      </c>
    </row>
    <row r="14" spans="1:33" x14ac:dyDescent="0.2">
      <c r="A14" s="97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9"/>
    </row>
    <row r="15" spans="1:33" x14ac:dyDescent="0.2">
      <c r="A15" s="97">
        <v>0.03</v>
      </c>
      <c r="B15" s="25">
        <f>+B6</f>
        <v>36887730.789999999</v>
      </c>
      <c r="C15" s="25">
        <f>(+B15/(1+$A$15))</f>
        <v>35813330.864077665</v>
      </c>
      <c r="D15" s="25">
        <f t="shared" ref="D15:AE15" si="6">(+C15/(1+$A$15))</f>
        <v>34770224.139881231</v>
      </c>
      <c r="E15" s="25">
        <f t="shared" si="6"/>
        <v>33757499.164933234</v>
      </c>
      <c r="F15" s="25">
        <f t="shared" si="6"/>
        <v>32774271.033915762</v>
      </c>
      <c r="G15" s="25">
        <f t="shared" si="6"/>
        <v>31819680.615452196</v>
      </c>
      <c r="H15" s="25">
        <f t="shared" si="6"/>
        <v>30892893.8014099</v>
      </c>
      <c r="I15" s="25">
        <f t="shared" si="6"/>
        <v>29993100.778067864</v>
      </c>
      <c r="J15" s="25">
        <f t="shared" si="6"/>
        <v>29119515.318512488</v>
      </c>
      <c r="K15" s="25">
        <f t="shared" si="6"/>
        <v>28271374.095643193</v>
      </c>
      <c r="L15" s="25">
        <f t="shared" si="6"/>
        <v>27447936.015187565</v>
      </c>
      <c r="M15" s="25">
        <f t="shared" si="6"/>
        <v>26648481.568143267</v>
      </c>
      <c r="N15" s="25">
        <f t="shared" si="6"/>
        <v>25872312.202080842</v>
      </c>
      <c r="O15" s="25">
        <f t="shared" si="6"/>
        <v>25118749.710758097</v>
      </c>
      <c r="P15" s="25">
        <f t="shared" si="6"/>
        <v>24387135.641512714</v>
      </c>
      <c r="Q15" s="25">
        <f t="shared" si="6"/>
        <v>23676830.719915256</v>
      </c>
      <c r="R15" s="25">
        <f t="shared" si="6"/>
        <v>22987214.291179858</v>
      </c>
      <c r="S15" s="25">
        <f t="shared" si="6"/>
        <v>22317683.777844522</v>
      </c>
      <c r="T15" s="25">
        <f t="shared" si="6"/>
        <v>21667654.153247107</v>
      </c>
      <c r="U15" s="25">
        <f t="shared" si="6"/>
        <v>21036557.430336997</v>
      </c>
      <c r="V15" s="25">
        <f t="shared" si="6"/>
        <v>20423842.165375724</v>
      </c>
      <c r="W15" s="25">
        <f t="shared" si="6"/>
        <v>19828972.976092935</v>
      </c>
      <c r="X15" s="25">
        <f t="shared" si="6"/>
        <v>19251430.073876634</v>
      </c>
      <c r="Y15" s="25">
        <f t="shared" si="6"/>
        <v>18690708.809588965</v>
      </c>
      <c r="Z15" s="25">
        <f t="shared" si="6"/>
        <v>18146319.232610647</v>
      </c>
      <c r="AA15" s="25">
        <f t="shared" si="6"/>
        <v>17617785.662728783</v>
      </c>
      <c r="AB15" s="25">
        <f t="shared" si="6"/>
        <v>17104646.274493963</v>
      </c>
      <c r="AC15" s="25">
        <f t="shared" si="6"/>
        <v>16606452.693683458</v>
      </c>
      <c r="AD15" s="25">
        <f t="shared" si="6"/>
        <v>16122769.60551792</v>
      </c>
      <c r="AE15" s="29">
        <f t="shared" si="6"/>
        <v>15653174.374289243</v>
      </c>
    </row>
    <row r="16" spans="1:33" x14ac:dyDescent="0.2">
      <c r="A16" s="9"/>
      <c r="B16" s="25">
        <f>+B15</f>
        <v>36887730.789999999</v>
      </c>
      <c r="C16" s="25">
        <f>+C15+B16</f>
        <v>72701061.654077664</v>
      </c>
      <c r="D16" s="25">
        <f t="shared" ref="D16:AE16" si="7">+D15+C16</f>
        <v>107471285.7939589</v>
      </c>
      <c r="E16" s="25">
        <f t="shared" si="7"/>
        <v>141228784.95889214</v>
      </c>
      <c r="F16" s="25">
        <f t="shared" si="7"/>
        <v>174003055.99280789</v>
      </c>
      <c r="G16" s="25">
        <f t="shared" si="7"/>
        <v>205822736.6082601</v>
      </c>
      <c r="H16" s="25">
        <f t="shared" si="7"/>
        <v>236715630.40967</v>
      </c>
      <c r="I16" s="25">
        <f t="shared" si="7"/>
        <v>266708731.18773785</v>
      </c>
      <c r="J16" s="25">
        <f t="shared" si="7"/>
        <v>295828246.50625032</v>
      </c>
      <c r="K16" s="25">
        <f t="shared" si="7"/>
        <v>324099620.60189354</v>
      </c>
      <c r="L16" s="25">
        <f t="shared" si="7"/>
        <v>351547556.61708111</v>
      </c>
      <c r="M16" s="25">
        <f t="shared" si="7"/>
        <v>378196038.18522435</v>
      </c>
      <c r="N16" s="25">
        <f t="shared" si="7"/>
        <v>404068350.3873052</v>
      </c>
      <c r="O16" s="25">
        <f t="shared" si="7"/>
        <v>429187100.09806329</v>
      </c>
      <c r="P16" s="25">
        <f t="shared" si="7"/>
        <v>453574235.73957598</v>
      </c>
      <c r="Q16" s="25">
        <f t="shared" si="7"/>
        <v>477251066.45949125</v>
      </c>
      <c r="R16" s="25">
        <f t="shared" si="7"/>
        <v>500238280.75067109</v>
      </c>
      <c r="S16" s="25">
        <f t="shared" si="7"/>
        <v>522555964.52851564</v>
      </c>
      <c r="T16" s="25">
        <f t="shared" si="7"/>
        <v>544223618.6817627</v>
      </c>
      <c r="U16" s="25">
        <f t="shared" si="7"/>
        <v>565260176.11209965</v>
      </c>
      <c r="V16" s="25">
        <f t="shared" si="7"/>
        <v>585684018.27747536</v>
      </c>
      <c r="W16" s="25">
        <f t="shared" si="7"/>
        <v>605512991.25356829</v>
      </c>
      <c r="X16" s="25">
        <f t="shared" si="7"/>
        <v>624764421.32744491</v>
      </c>
      <c r="Y16" s="25">
        <f t="shared" si="7"/>
        <v>643455130.13703382</v>
      </c>
      <c r="Z16" s="25">
        <f t="shared" si="7"/>
        <v>661601449.36964452</v>
      </c>
      <c r="AA16" s="25">
        <f t="shared" si="7"/>
        <v>679219235.03237331</v>
      </c>
      <c r="AB16" s="25">
        <f t="shared" si="7"/>
        <v>696323881.30686724</v>
      </c>
      <c r="AC16" s="25">
        <f t="shared" si="7"/>
        <v>712930334.00055075</v>
      </c>
      <c r="AD16" s="25">
        <f t="shared" si="7"/>
        <v>729053103.60606861</v>
      </c>
      <c r="AE16" s="29">
        <f t="shared" si="7"/>
        <v>744706277.98035789</v>
      </c>
    </row>
    <row r="17" spans="1:31" x14ac:dyDescent="0.2">
      <c r="A17" s="9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96"/>
    </row>
    <row r="18" spans="1:31" x14ac:dyDescent="0.2">
      <c r="A18" s="9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96"/>
    </row>
    <row r="19" spans="1:31" ht="15.75" x14ac:dyDescent="0.25">
      <c r="A19" s="110"/>
      <c r="B19" s="102" t="s">
        <v>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11"/>
    </row>
    <row r="20" spans="1:31" ht="15.75" x14ac:dyDescent="0.25">
      <c r="A20" s="19" t="s">
        <v>28</v>
      </c>
      <c r="B20" s="104" t="s">
        <v>18</v>
      </c>
      <c r="C20" s="104" t="s">
        <v>29</v>
      </c>
      <c r="D20" s="104" t="s">
        <v>19</v>
      </c>
      <c r="E20" s="104" t="s">
        <v>30</v>
      </c>
      <c r="F20" s="104" t="s">
        <v>20</v>
      </c>
      <c r="G20" s="104" t="s">
        <v>31</v>
      </c>
      <c r="H20" s="104" t="s">
        <v>32</v>
      </c>
      <c r="I20" s="104" t="s">
        <v>33</v>
      </c>
      <c r="J20" s="104" t="s">
        <v>34</v>
      </c>
      <c r="K20" s="104" t="s">
        <v>21</v>
      </c>
      <c r="L20" s="104" t="s">
        <v>35</v>
      </c>
      <c r="M20" s="104" t="s">
        <v>36</v>
      </c>
      <c r="N20" s="104" t="s">
        <v>37</v>
      </c>
      <c r="O20" s="104" t="s">
        <v>38</v>
      </c>
      <c r="P20" s="104" t="s">
        <v>39</v>
      </c>
      <c r="Q20" s="104" t="s">
        <v>40</v>
      </c>
      <c r="R20" s="104" t="s">
        <v>41</v>
      </c>
      <c r="S20" s="104" t="s">
        <v>42</v>
      </c>
      <c r="T20" s="104" t="s">
        <v>43</v>
      </c>
      <c r="U20" s="104" t="s">
        <v>44</v>
      </c>
      <c r="V20" s="104" t="s">
        <v>45</v>
      </c>
      <c r="W20" s="104" t="s">
        <v>46</v>
      </c>
      <c r="X20" s="104" t="s">
        <v>47</v>
      </c>
      <c r="Y20" s="104" t="s">
        <v>48</v>
      </c>
      <c r="Z20" s="104" t="s">
        <v>49</v>
      </c>
      <c r="AA20" s="104" t="s">
        <v>50</v>
      </c>
      <c r="AB20" s="104" t="s">
        <v>51</v>
      </c>
      <c r="AC20" s="104" t="s">
        <v>52</v>
      </c>
      <c r="AD20" s="104" t="s">
        <v>53</v>
      </c>
      <c r="AE20" s="105" t="s">
        <v>54</v>
      </c>
    </row>
    <row r="21" spans="1:31" x14ac:dyDescent="0.2">
      <c r="A21" s="97">
        <v>0.1</v>
      </c>
      <c r="B21" s="200">
        <f>+B6/'Entry Required'!B3</f>
        <v>16729.129609977324</v>
      </c>
      <c r="C21" s="25">
        <f>(+B21/(1+$A$6))</f>
        <v>15208.29964543393</v>
      </c>
      <c r="D21" s="25">
        <f>(+C21/(1+$A$6))</f>
        <v>13825.726950394481</v>
      </c>
      <c r="E21" s="25">
        <f t="shared" ref="E21:AE21" si="8">(+D21/(1+$A$6))</f>
        <v>12568.842682176799</v>
      </c>
      <c r="F21" s="25">
        <f t="shared" si="8"/>
        <v>11426.220620160726</v>
      </c>
      <c r="G21" s="25">
        <f t="shared" si="8"/>
        <v>10387.473291055205</v>
      </c>
      <c r="H21" s="25">
        <f t="shared" si="8"/>
        <v>9443.1575373229134</v>
      </c>
      <c r="I21" s="25">
        <f t="shared" si="8"/>
        <v>8584.6886702935572</v>
      </c>
      <c r="J21" s="25">
        <f t="shared" si="8"/>
        <v>7804.2624275395965</v>
      </c>
      <c r="K21" s="25">
        <f t="shared" si="8"/>
        <v>7094.7840250359959</v>
      </c>
      <c r="L21" s="25">
        <f t="shared" si="8"/>
        <v>6449.8036591236323</v>
      </c>
      <c r="M21" s="25">
        <f t="shared" si="8"/>
        <v>5863.4578719305746</v>
      </c>
      <c r="N21" s="25">
        <f t="shared" si="8"/>
        <v>5330.4162472096132</v>
      </c>
      <c r="O21" s="25">
        <f t="shared" si="8"/>
        <v>4845.8329520087391</v>
      </c>
      <c r="P21" s="25">
        <f t="shared" si="8"/>
        <v>4405.3026836443078</v>
      </c>
      <c r="Q21" s="25">
        <f t="shared" si="8"/>
        <v>4004.820621494825</v>
      </c>
      <c r="R21" s="25">
        <f t="shared" si="8"/>
        <v>3640.7460195407498</v>
      </c>
      <c r="S21" s="25">
        <f t="shared" si="8"/>
        <v>3309.7691086734085</v>
      </c>
      <c r="T21" s="25">
        <f t="shared" si="8"/>
        <v>3008.8810078849165</v>
      </c>
      <c r="U21" s="25">
        <f t="shared" si="8"/>
        <v>2735.3463708044692</v>
      </c>
      <c r="V21" s="25">
        <f t="shared" si="8"/>
        <v>2486.6785189131538</v>
      </c>
      <c r="W21" s="25">
        <f t="shared" si="8"/>
        <v>2260.6168353755943</v>
      </c>
      <c r="X21" s="25">
        <f t="shared" si="8"/>
        <v>2055.1062139778128</v>
      </c>
      <c r="Y21" s="25">
        <f t="shared" si="8"/>
        <v>1868.2783763434661</v>
      </c>
      <c r="Z21" s="25">
        <f t="shared" si="8"/>
        <v>1698.4348875849691</v>
      </c>
      <c r="AA21" s="25">
        <f t="shared" si="8"/>
        <v>1544.0317159863355</v>
      </c>
      <c r="AB21" s="25">
        <f t="shared" si="8"/>
        <v>1403.665196351214</v>
      </c>
      <c r="AC21" s="25">
        <f t="shared" si="8"/>
        <v>1276.0592694101945</v>
      </c>
      <c r="AD21" s="25">
        <f t="shared" si="8"/>
        <v>1160.0538812819948</v>
      </c>
      <c r="AE21" s="29">
        <f t="shared" si="8"/>
        <v>1054.594437529086</v>
      </c>
    </row>
    <row r="22" spans="1:31" x14ac:dyDescent="0.2">
      <c r="A22" s="97"/>
      <c r="B22" s="25">
        <f>+B21</f>
        <v>16729.129609977324</v>
      </c>
      <c r="C22" s="25">
        <f t="shared" ref="C22:AE22" si="9">+C21+B22</f>
        <v>31937.429255411254</v>
      </c>
      <c r="D22" s="25">
        <f t="shared" si="9"/>
        <v>45763.156205805732</v>
      </c>
      <c r="E22" s="25">
        <f t="shared" si="9"/>
        <v>58331.998887982532</v>
      </c>
      <c r="F22" s="25">
        <f t="shared" si="9"/>
        <v>69758.219508143258</v>
      </c>
      <c r="G22" s="25">
        <f t="shared" si="9"/>
        <v>80145.69279919847</v>
      </c>
      <c r="H22" s="25">
        <f t="shared" si="9"/>
        <v>89588.850336521384</v>
      </c>
      <c r="I22" s="25">
        <f t="shared" si="9"/>
        <v>98173.539006814943</v>
      </c>
      <c r="J22" s="25">
        <f t="shared" si="9"/>
        <v>105977.80143435454</v>
      </c>
      <c r="K22" s="25">
        <f t="shared" si="9"/>
        <v>113072.58545939054</v>
      </c>
      <c r="L22" s="25">
        <f t="shared" si="9"/>
        <v>119522.38911851417</v>
      </c>
      <c r="M22" s="25">
        <f t="shared" si="9"/>
        <v>125385.84699044474</v>
      </c>
      <c r="N22" s="25">
        <f t="shared" si="9"/>
        <v>130716.26323765435</v>
      </c>
      <c r="O22" s="25">
        <f t="shared" si="9"/>
        <v>135562.09618966308</v>
      </c>
      <c r="P22" s="25">
        <f t="shared" si="9"/>
        <v>139967.39887330739</v>
      </c>
      <c r="Q22" s="25">
        <f t="shared" si="9"/>
        <v>143972.21949480221</v>
      </c>
      <c r="R22" s="25">
        <f t="shared" si="9"/>
        <v>147612.96551434297</v>
      </c>
      <c r="S22" s="25">
        <f t="shared" si="9"/>
        <v>150922.73462301638</v>
      </c>
      <c r="T22" s="25">
        <f t="shared" si="9"/>
        <v>153931.6156309013</v>
      </c>
      <c r="U22" s="25">
        <f t="shared" si="9"/>
        <v>156666.96200170578</v>
      </c>
      <c r="V22" s="25">
        <f t="shared" si="9"/>
        <v>159153.64052061894</v>
      </c>
      <c r="W22" s="25">
        <f t="shared" si="9"/>
        <v>161414.25735599454</v>
      </c>
      <c r="X22" s="25">
        <f t="shared" si="9"/>
        <v>163469.36356997237</v>
      </c>
      <c r="Y22" s="25">
        <f t="shared" si="9"/>
        <v>165337.64194631582</v>
      </c>
      <c r="Z22" s="25">
        <f t="shared" si="9"/>
        <v>167036.07683390079</v>
      </c>
      <c r="AA22" s="25">
        <f t="shared" si="9"/>
        <v>168580.10854988714</v>
      </c>
      <c r="AB22" s="25">
        <f t="shared" si="9"/>
        <v>169983.77374623835</v>
      </c>
      <c r="AC22" s="25">
        <f t="shared" si="9"/>
        <v>171259.83301564856</v>
      </c>
      <c r="AD22" s="25">
        <f t="shared" si="9"/>
        <v>172419.88689693055</v>
      </c>
      <c r="AE22" s="29">
        <f t="shared" si="9"/>
        <v>173474.48133445965</v>
      </c>
    </row>
    <row r="23" spans="1:31" x14ac:dyDescent="0.2">
      <c r="A23" s="97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9"/>
    </row>
    <row r="24" spans="1:31" x14ac:dyDescent="0.2">
      <c r="A24" s="97">
        <v>7.0000000000000007E-2</v>
      </c>
      <c r="B24" s="25">
        <f>+B21</f>
        <v>16729.129609977324</v>
      </c>
      <c r="C24" s="25">
        <f>(+B24/(1+$A$9))</f>
        <v>15634.700570072266</v>
      </c>
      <c r="D24" s="25">
        <f t="shared" ref="D24:AE24" si="10">(+C24/(1+$A$9))</f>
        <v>14611.869691656322</v>
      </c>
      <c r="E24" s="25">
        <f t="shared" si="10"/>
        <v>13655.952982856375</v>
      </c>
      <c r="F24" s="25">
        <f t="shared" si="10"/>
        <v>12762.572881174181</v>
      </c>
      <c r="G24" s="25">
        <f t="shared" si="10"/>
        <v>11927.638206704842</v>
      </c>
      <c r="H24" s="25">
        <f t="shared" si="10"/>
        <v>11147.325426826954</v>
      </c>
      <c r="I24" s="25">
        <f t="shared" si="10"/>
        <v>10418.061146567246</v>
      </c>
      <c r="J24" s="25">
        <f t="shared" si="10"/>
        <v>9736.5057444553695</v>
      </c>
      <c r="K24" s="25">
        <f t="shared" si="10"/>
        <v>9099.5380789302508</v>
      </c>
      <c r="L24" s="25">
        <f t="shared" si="10"/>
        <v>8504.2411952619168</v>
      </c>
      <c r="M24" s="25">
        <f t="shared" si="10"/>
        <v>7947.8889675345008</v>
      </c>
      <c r="N24" s="25">
        <f t="shared" si="10"/>
        <v>7427.9336145182242</v>
      </c>
      <c r="O24" s="25">
        <f t="shared" si="10"/>
        <v>6941.9940322600223</v>
      </c>
      <c r="P24" s="25">
        <f t="shared" si="10"/>
        <v>6487.8448899626374</v>
      </c>
      <c r="Q24" s="25">
        <f t="shared" si="10"/>
        <v>6063.4064392174178</v>
      </c>
      <c r="R24" s="25">
        <f t="shared" si="10"/>
        <v>5666.7349899228202</v>
      </c>
      <c r="S24" s="25">
        <f t="shared" si="10"/>
        <v>5296.0140092736638</v>
      </c>
      <c r="T24" s="25">
        <f t="shared" si="10"/>
        <v>4949.5458030594982</v>
      </c>
      <c r="U24" s="25">
        <f t="shared" si="10"/>
        <v>4625.7437411771007</v>
      </c>
      <c r="V24" s="25">
        <f t="shared" si="10"/>
        <v>4323.1249917542991</v>
      </c>
      <c r="W24" s="25">
        <f t="shared" si="10"/>
        <v>4040.3037306114943</v>
      </c>
      <c r="X24" s="25">
        <f t="shared" si="10"/>
        <v>3775.984794964013</v>
      </c>
      <c r="Y24" s="25">
        <f t="shared" si="10"/>
        <v>3528.9577523028156</v>
      </c>
      <c r="Z24" s="25">
        <f t="shared" si="10"/>
        <v>3298.0913572923509</v>
      </c>
      <c r="AA24" s="25">
        <f t="shared" si="10"/>
        <v>3082.3283713012625</v>
      </c>
      <c r="AB24" s="25">
        <f t="shared" si="10"/>
        <v>2880.6807208423011</v>
      </c>
      <c r="AC24" s="25">
        <f t="shared" si="10"/>
        <v>2692.2249727498138</v>
      </c>
      <c r="AD24" s="25">
        <f t="shared" si="10"/>
        <v>2516.0981053736577</v>
      </c>
      <c r="AE24" s="29">
        <f t="shared" si="10"/>
        <v>2351.493556423979</v>
      </c>
    </row>
    <row r="25" spans="1:31" x14ac:dyDescent="0.2">
      <c r="A25" s="97"/>
      <c r="B25" s="25">
        <f>+B24</f>
        <v>16729.129609977324</v>
      </c>
      <c r="C25" s="25">
        <f t="shared" ref="C25:AE25" si="11">+C24+B25</f>
        <v>32363.83018004959</v>
      </c>
      <c r="D25" s="25">
        <f t="shared" si="11"/>
        <v>46975.69987170591</v>
      </c>
      <c r="E25" s="25">
        <f t="shared" si="11"/>
        <v>60631.652854562286</v>
      </c>
      <c r="F25" s="25">
        <f t="shared" si="11"/>
        <v>73394.225735736472</v>
      </c>
      <c r="G25" s="25">
        <f t="shared" si="11"/>
        <v>85321.863942441312</v>
      </c>
      <c r="H25" s="25">
        <f t="shared" si="11"/>
        <v>96469.189369268264</v>
      </c>
      <c r="I25" s="25">
        <f t="shared" si="11"/>
        <v>106887.25051583551</v>
      </c>
      <c r="J25" s="25">
        <f t="shared" si="11"/>
        <v>116623.75626029087</v>
      </c>
      <c r="K25" s="25">
        <f t="shared" si="11"/>
        <v>125723.29433922112</v>
      </c>
      <c r="L25" s="25">
        <f t="shared" si="11"/>
        <v>134227.53553448303</v>
      </c>
      <c r="M25" s="25">
        <f t="shared" si="11"/>
        <v>142175.42450201753</v>
      </c>
      <c r="N25" s="25">
        <f t="shared" si="11"/>
        <v>149603.35811653576</v>
      </c>
      <c r="O25" s="25">
        <f t="shared" si="11"/>
        <v>156545.35214879579</v>
      </c>
      <c r="P25" s="25">
        <f t="shared" si="11"/>
        <v>163033.19703875843</v>
      </c>
      <c r="Q25" s="25">
        <f t="shared" si="11"/>
        <v>169096.60347797585</v>
      </c>
      <c r="R25" s="25">
        <f t="shared" si="11"/>
        <v>174763.33846789866</v>
      </c>
      <c r="S25" s="25">
        <f t="shared" si="11"/>
        <v>180059.35247717233</v>
      </c>
      <c r="T25" s="25">
        <f t="shared" si="11"/>
        <v>185008.89828023184</v>
      </c>
      <c r="U25" s="25">
        <f t="shared" si="11"/>
        <v>189634.64202140894</v>
      </c>
      <c r="V25" s="25">
        <f t="shared" si="11"/>
        <v>193957.76701316325</v>
      </c>
      <c r="W25" s="25">
        <f t="shared" si="11"/>
        <v>197998.07074377473</v>
      </c>
      <c r="X25" s="25">
        <f t="shared" si="11"/>
        <v>201774.05553873876</v>
      </c>
      <c r="Y25" s="25">
        <f t="shared" si="11"/>
        <v>205303.01329104157</v>
      </c>
      <c r="Z25" s="25">
        <f t="shared" si="11"/>
        <v>208601.10464833392</v>
      </c>
      <c r="AA25" s="25">
        <f t="shared" si="11"/>
        <v>211683.43301963518</v>
      </c>
      <c r="AB25" s="25">
        <f t="shared" si="11"/>
        <v>214564.11374047748</v>
      </c>
      <c r="AC25" s="25">
        <f t="shared" si="11"/>
        <v>217256.33871322731</v>
      </c>
      <c r="AD25" s="25">
        <f t="shared" si="11"/>
        <v>219772.43681860095</v>
      </c>
      <c r="AE25" s="29">
        <f t="shared" si="11"/>
        <v>222123.93037502494</v>
      </c>
    </row>
    <row r="26" spans="1:31" x14ac:dyDescent="0.2">
      <c r="A26" s="97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9"/>
    </row>
    <row r="27" spans="1:31" x14ac:dyDescent="0.2">
      <c r="A27" s="97">
        <v>0.05</v>
      </c>
      <c r="B27" s="25">
        <f>+B21</f>
        <v>16729.129609977324</v>
      </c>
      <c r="C27" s="25">
        <f>(+B27/(1+$A$12))</f>
        <v>15932.504390454595</v>
      </c>
      <c r="D27" s="25">
        <f t="shared" ref="D27:AE27" si="12">(+C27/(1+$A$12))</f>
        <v>15173.813705194851</v>
      </c>
      <c r="E27" s="25">
        <f t="shared" si="12"/>
        <v>14451.25114780462</v>
      </c>
      <c r="F27" s="25">
        <f t="shared" si="12"/>
        <v>13763.096331242494</v>
      </c>
      <c r="G27" s="25">
        <f t="shared" si="12"/>
        <v>13107.710791659518</v>
      </c>
      <c r="H27" s="25">
        <f t="shared" si="12"/>
        <v>12483.534087294778</v>
      </c>
      <c r="I27" s="25">
        <f t="shared" si="12"/>
        <v>11889.080083137884</v>
      </c>
      <c r="J27" s="25">
        <f t="shared" si="12"/>
        <v>11322.93341251227</v>
      </c>
      <c r="K27" s="25">
        <f t="shared" si="12"/>
        <v>10783.746107154542</v>
      </c>
      <c r="L27" s="25">
        <f t="shared" si="12"/>
        <v>10270.23438776623</v>
      </c>
      <c r="M27" s="25">
        <f t="shared" si="12"/>
        <v>9781.1756073964079</v>
      </c>
      <c r="N27" s="25">
        <f t="shared" si="12"/>
        <v>9315.4053403775306</v>
      </c>
      <c r="O27" s="25">
        <f t="shared" si="12"/>
        <v>8871.8146098833622</v>
      </c>
      <c r="P27" s="25">
        <f t="shared" si="12"/>
        <v>8449.3472475079634</v>
      </c>
      <c r="Q27" s="25">
        <f t="shared" si="12"/>
        <v>8046.9973785790125</v>
      </c>
      <c r="R27" s="25">
        <f t="shared" si="12"/>
        <v>7663.8070272181067</v>
      </c>
      <c r="S27" s="25">
        <f t="shared" si="12"/>
        <v>7298.8638354458153</v>
      </c>
      <c r="T27" s="25">
        <f t="shared" si="12"/>
        <v>6951.2988909007763</v>
      </c>
      <c r="U27" s="25">
        <f t="shared" si="12"/>
        <v>6620.284658000739</v>
      </c>
      <c r="V27" s="25">
        <f t="shared" si="12"/>
        <v>6305.0330076197515</v>
      </c>
      <c r="W27" s="25">
        <f t="shared" si="12"/>
        <v>6004.7933405902395</v>
      </c>
      <c r="X27" s="25">
        <f t="shared" si="12"/>
        <v>5718.8508005621325</v>
      </c>
      <c r="Y27" s="25">
        <f t="shared" si="12"/>
        <v>5446.5245719639352</v>
      </c>
      <c r="Z27" s="25">
        <f t="shared" si="12"/>
        <v>5187.166259013271</v>
      </c>
      <c r="AA27" s="25">
        <f t="shared" si="12"/>
        <v>4940.1583419174003</v>
      </c>
      <c r="AB27" s="25">
        <f t="shared" si="12"/>
        <v>4704.9127065880002</v>
      </c>
      <c r="AC27" s="25">
        <f t="shared" si="12"/>
        <v>4480.8692443695236</v>
      </c>
      <c r="AD27" s="25">
        <f t="shared" si="12"/>
        <v>4267.4945184471653</v>
      </c>
      <c r="AE27" s="29">
        <f t="shared" si="12"/>
        <v>4064.280493759205</v>
      </c>
    </row>
    <row r="28" spans="1:31" x14ac:dyDescent="0.2">
      <c r="A28" s="97"/>
      <c r="B28" s="25">
        <f>+B27</f>
        <v>16729.129609977324</v>
      </c>
      <c r="C28" s="25">
        <f t="shared" ref="C28:AE28" si="13">+C27+B28</f>
        <v>32661.634000431921</v>
      </c>
      <c r="D28" s="25">
        <f t="shared" si="13"/>
        <v>47835.447705626771</v>
      </c>
      <c r="E28" s="25">
        <f t="shared" si="13"/>
        <v>62286.698853431393</v>
      </c>
      <c r="F28" s="25">
        <f t="shared" si="13"/>
        <v>76049.795184673887</v>
      </c>
      <c r="G28" s="25">
        <f t="shared" si="13"/>
        <v>89157.505976333399</v>
      </c>
      <c r="H28" s="25">
        <f t="shared" si="13"/>
        <v>101641.04006362817</v>
      </c>
      <c r="I28" s="25">
        <f t="shared" si="13"/>
        <v>113530.12014676606</v>
      </c>
      <c r="J28" s="25">
        <f t="shared" si="13"/>
        <v>124853.05355927833</v>
      </c>
      <c r="K28" s="25">
        <f t="shared" si="13"/>
        <v>135636.79966643287</v>
      </c>
      <c r="L28" s="25">
        <f t="shared" si="13"/>
        <v>145907.03405419909</v>
      </c>
      <c r="M28" s="25">
        <f t="shared" si="13"/>
        <v>155688.20966159549</v>
      </c>
      <c r="N28" s="25">
        <f t="shared" si="13"/>
        <v>165003.61500197303</v>
      </c>
      <c r="O28" s="25">
        <f t="shared" si="13"/>
        <v>173875.42961185638</v>
      </c>
      <c r="P28" s="25">
        <f t="shared" si="13"/>
        <v>182324.77685936436</v>
      </c>
      <c r="Q28" s="25">
        <f t="shared" si="13"/>
        <v>190371.77423794338</v>
      </c>
      <c r="R28" s="25">
        <f t="shared" si="13"/>
        <v>198035.58126516148</v>
      </c>
      <c r="S28" s="25">
        <f t="shared" si="13"/>
        <v>205334.44510060729</v>
      </c>
      <c r="T28" s="25">
        <f t="shared" si="13"/>
        <v>212285.74399150806</v>
      </c>
      <c r="U28" s="25">
        <f t="shared" si="13"/>
        <v>218906.02864950881</v>
      </c>
      <c r="V28" s="25">
        <f t="shared" si="13"/>
        <v>225211.06165712856</v>
      </c>
      <c r="W28" s="25">
        <f t="shared" si="13"/>
        <v>231215.85499771879</v>
      </c>
      <c r="X28" s="25">
        <f t="shared" si="13"/>
        <v>236934.70579828092</v>
      </c>
      <c r="Y28" s="25">
        <f t="shared" si="13"/>
        <v>242381.23037024486</v>
      </c>
      <c r="Z28" s="25">
        <f t="shared" si="13"/>
        <v>247568.39662925812</v>
      </c>
      <c r="AA28" s="25">
        <f t="shared" si="13"/>
        <v>252508.55497117553</v>
      </c>
      <c r="AB28" s="25">
        <f t="shared" si="13"/>
        <v>257213.46767776352</v>
      </c>
      <c r="AC28" s="25">
        <f t="shared" si="13"/>
        <v>261694.33692213305</v>
      </c>
      <c r="AD28" s="25">
        <f t="shared" si="13"/>
        <v>265961.83144058019</v>
      </c>
      <c r="AE28" s="29">
        <f t="shared" si="13"/>
        <v>270026.11193433939</v>
      </c>
    </row>
    <row r="29" spans="1:31" x14ac:dyDescent="0.2">
      <c r="A29" s="97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9"/>
    </row>
    <row r="30" spans="1:31" x14ac:dyDescent="0.2">
      <c r="A30" s="97">
        <v>0.03</v>
      </c>
      <c r="B30" s="25">
        <f>+B21</f>
        <v>16729.129609977324</v>
      </c>
      <c r="C30" s="25">
        <f>(+B30/(1+$A$15))</f>
        <v>16241.873407744975</v>
      </c>
      <c r="D30" s="25">
        <f t="shared" ref="D30:AE30" si="14">(+C30/(1+$A$15))</f>
        <v>15768.809133732986</v>
      </c>
      <c r="E30" s="25">
        <f t="shared" si="14"/>
        <v>15309.523430808724</v>
      </c>
      <c r="F30" s="25">
        <f t="shared" si="14"/>
        <v>14863.614981367693</v>
      </c>
      <c r="G30" s="25">
        <f t="shared" si="14"/>
        <v>14430.694156667663</v>
      </c>
      <c r="H30" s="25">
        <f t="shared" si="14"/>
        <v>14010.382676376372</v>
      </c>
      <c r="I30" s="25">
        <f t="shared" si="14"/>
        <v>13602.313278035312</v>
      </c>
      <c r="J30" s="25">
        <f t="shared" si="14"/>
        <v>13206.129396150787</v>
      </c>
      <c r="K30" s="25">
        <f t="shared" si="14"/>
        <v>12821.484850631832</v>
      </c>
      <c r="L30" s="25">
        <f t="shared" si="14"/>
        <v>12448.043544302749</v>
      </c>
      <c r="M30" s="25">
        <f t="shared" si="14"/>
        <v>12085.47916922597</v>
      </c>
      <c r="N30" s="25">
        <f t="shared" si="14"/>
        <v>11733.474921578611</v>
      </c>
      <c r="O30" s="25">
        <f t="shared" si="14"/>
        <v>11391.723224833602</v>
      </c>
      <c r="P30" s="25">
        <f t="shared" si="14"/>
        <v>11059.925461003497</v>
      </c>
      <c r="Q30" s="25">
        <f t="shared" si="14"/>
        <v>10737.791709712132</v>
      </c>
      <c r="R30" s="25">
        <f t="shared" si="14"/>
        <v>10425.040494866147</v>
      </c>
      <c r="S30" s="25">
        <f t="shared" si="14"/>
        <v>10121.398538704996</v>
      </c>
      <c r="T30" s="25">
        <f t="shared" si="14"/>
        <v>9826.6005230145583</v>
      </c>
      <c r="U30" s="25">
        <f t="shared" si="14"/>
        <v>9540.3888572956876</v>
      </c>
      <c r="V30" s="25">
        <f t="shared" si="14"/>
        <v>9262.5134536851328</v>
      </c>
      <c r="W30" s="25">
        <f t="shared" si="14"/>
        <v>8992.7315084321672</v>
      </c>
      <c r="X30" s="25">
        <f t="shared" si="14"/>
        <v>8730.807289739967</v>
      </c>
      <c r="Y30" s="25">
        <f t="shared" si="14"/>
        <v>8476.5119317863755</v>
      </c>
      <c r="Z30" s="25">
        <f t="shared" si="14"/>
        <v>8229.6232347440546</v>
      </c>
      <c r="AA30" s="25">
        <f t="shared" si="14"/>
        <v>7989.9254706252959</v>
      </c>
      <c r="AB30" s="25">
        <f t="shared" si="14"/>
        <v>7757.2091947818408</v>
      </c>
      <c r="AC30" s="25">
        <f t="shared" si="14"/>
        <v>7531.2710628949908</v>
      </c>
      <c r="AD30" s="25">
        <f t="shared" si="14"/>
        <v>7311.9136532961074</v>
      </c>
      <c r="AE30" s="29">
        <f t="shared" si="14"/>
        <v>7098.9452944622399</v>
      </c>
    </row>
    <row r="31" spans="1:31" x14ac:dyDescent="0.2">
      <c r="A31" s="9"/>
      <c r="B31" s="25">
        <f>+B30</f>
        <v>16729.129609977324</v>
      </c>
      <c r="C31" s="25">
        <f t="shared" ref="C31:AE31" si="15">+C30+B31</f>
        <v>32971.003017722302</v>
      </c>
      <c r="D31" s="25">
        <f t="shared" si="15"/>
        <v>48739.812151455291</v>
      </c>
      <c r="E31" s="25">
        <f t="shared" si="15"/>
        <v>64049.335582264015</v>
      </c>
      <c r="F31" s="25">
        <f t="shared" si="15"/>
        <v>78912.950563631704</v>
      </c>
      <c r="G31" s="25">
        <f t="shared" si="15"/>
        <v>93343.644720299373</v>
      </c>
      <c r="H31" s="25">
        <f t="shared" si="15"/>
        <v>107354.02739667575</v>
      </c>
      <c r="I31" s="25">
        <f t="shared" si="15"/>
        <v>120956.34067471107</v>
      </c>
      <c r="J31" s="25">
        <f t="shared" si="15"/>
        <v>134162.47007086186</v>
      </c>
      <c r="K31" s="25">
        <f t="shared" si="15"/>
        <v>146983.95492149369</v>
      </c>
      <c r="L31" s="25">
        <f t="shared" si="15"/>
        <v>159431.99846579644</v>
      </c>
      <c r="M31" s="25">
        <f t="shared" si="15"/>
        <v>171517.4776350224</v>
      </c>
      <c r="N31" s="25">
        <f t="shared" si="15"/>
        <v>183250.952556601</v>
      </c>
      <c r="O31" s="25">
        <f t="shared" si="15"/>
        <v>194642.67578143461</v>
      </c>
      <c r="P31" s="25">
        <f t="shared" si="15"/>
        <v>205702.6012424381</v>
      </c>
      <c r="Q31" s="25">
        <f t="shared" si="15"/>
        <v>216440.39295215023</v>
      </c>
      <c r="R31" s="25">
        <f t="shared" si="15"/>
        <v>226865.43344701637</v>
      </c>
      <c r="S31" s="25">
        <f t="shared" si="15"/>
        <v>236986.83198572136</v>
      </c>
      <c r="T31" s="25">
        <f t="shared" si="15"/>
        <v>246813.43250873592</v>
      </c>
      <c r="U31" s="25">
        <f t="shared" si="15"/>
        <v>256353.8213660316</v>
      </c>
      <c r="V31" s="25">
        <f t="shared" si="15"/>
        <v>265616.33481971675</v>
      </c>
      <c r="W31" s="25">
        <f t="shared" si="15"/>
        <v>274609.06632814894</v>
      </c>
      <c r="X31" s="25">
        <f t="shared" si="15"/>
        <v>283339.87361788889</v>
      </c>
      <c r="Y31" s="25">
        <f t="shared" si="15"/>
        <v>291816.38554967527</v>
      </c>
      <c r="Z31" s="25">
        <f t="shared" si="15"/>
        <v>300046.00878441933</v>
      </c>
      <c r="AA31" s="25">
        <f t="shared" si="15"/>
        <v>308035.93425504462</v>
      </c>
      <c r="AB31" s="25">
        <f t="shared" si="15"/>
        <v>315793.14344982646</v>
      </c>
      <c r="AC31" s="25">
        <f t="shared" si="15"/>
        <v>323324.41451272147</v>
      </c>
      <c r="AD31" s="25">
        <f t="shared" si="15"/>
        <v>330636.3281660176</v>
      </c>
      <c r="AE31" s="29">
        <f t="shared" si="15"/>
        <v>337735.27346047986</v>
      </c>
    </row>
    <row r="32" spans="1:31" x14ac:dyDescent="0.2">
      <c r="A32" s="9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96"/>
    </row>
    <row r="33" spans="1:33" x14ac:dyDescent="0.2">
      <c r="A33" s="9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96"/>
    </row>
    <row r="34" spans="1:33" ht="15.75" x14ac:dyDescent="0.25">
      <c r="A34" s="110"/>
      <c r="B34" s="102" t="s">
        <v>174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11"/>
      <c r="AG34" s="46" t="s">
        <v>168</v>
      </c>
    </row>
    <row r="35" spans="1:33" s="46" customFormat="1" ht="15.75" x14ac:dyDescent="0.25">
      <c r="A35" s="19" t="s">
        <v>28</v>
      </c>
      <c r="B35" s="104" t="str">
        <f>+B5</f>
        <v>Year 1</v>
      </c>
      <c r="C35" s="104" t="str">
        <f t="shared" ref="C35:AE35" si="16">+C5</f>
        <v>Year 2</v>
      </c>
      <c r="D35" s="104" t="str">
        <f t="shared" si="16"/>
        <v>Year 3</v>
      </c>
      <c r="E35" s="104" t="str">
        <f t="shared" si="16"/>
        <v>Year 4</v>
      </c>
      <c r="F35" s="104" t="str">
        <f t="shared" si="16"/>
        <v>Year 5</v>
      </c>
      <c r="G35" s="104" t="str">
        <f t="shared" si="16"/>
        <v>Year 6</v>
      </c>
      <c r="H35" s="104" t="str">
        <f t="shared" si="16"/>
        <v>Year 7</v>
      </c>
      <c r="I35" s="104" t="str">
        <f t="shared" si="16"/>
        <v>Year 8</v>
      </c>
      <c r="J35" s="104" t="str">
        <f t="shared" si="16"/>
        <v>Year 9</v>
      </c>
      <c r="K35" s="104" t="str">
        <f t="shared" si="16"/>
        <v>Year 10</v>
      </c>
      <c r="L35" s="104" t="str">
        <f t="shared" si="16"/>
        <v>Year 11</v>
      </c>
      <c r="M35" s="104" t="str">
        <f t="shared" si="16"/>
        <v>Year 12</v>
      </c>
      <c r="N35" s="104" t="str">
        <f t="shared" si="16"/>
        <v>Year 13</v>
      </c>
      <c r="O35" s="104" t="str">
        <f t="shared" si="16"/>
        <v>Year 14</v>
      </c>
      <c r="P35" s="104" t="str">
        <f t="shared" si="16"/>
        <v>Year 15</v>
      </c>
      <c r="Q35" s="104" t="str">
        <f t="shared" si="16"/>
        <v>Year 16</v>
      </c>
      <c r="R35" s="104" t="str">
        <f t="shared" si="16"/>
        <v>Year 17</v>
      </c>
      <c r="S35" s="104" t="str">
        <f t="shared" si="16"/>
        <v>Year 18</v>
      </c>
      <c r="T35" s="104" t="str">
        <f t="shared" si="16"/>
        <v>Year 19</v>
      </c>
      <c r="U35" s="104" t="str">
        <f t="shared" si="16"/>
        <v>Year 20</v>
      </c>
      <c r="V35" s="104" t="str">
        <f t="shared" si="16"/>
        <v>Year 21</v>
      </c>
      <c r="W35" s="104" t="str">
        <f t="shared" si="16"/>
        <v>Year 22</v>
      </c>
      <c r="X35" s="104" t="str">
        <f t="shared" si="16"/>
        <v>Year 23</v>
      </c>
      <c r="Y35" s="104" t="str">
        <f t="shared" si="16"/>
        <v>Year 24</v>
      </c>
      <c r="Z35" s="104" t="str">
        <f t="shared" si="16"/>
        <v>Year 25</v>
      </c>
      <c r="AA35" s="104" t="str">
        <f t="shared" si="16"/>
        <v>Year 26</v>
      </c>
      <c r="AB35" s="104" t="str">
        <f t="shared" si="16"/>
        <v>Year 27</v>
      </c>
      <c r="AC35" s="104" t="str">
        <f t="shared" si="16"/>
        <v>Year 28</v>
      </c>
      <c r="AD35" s="104" t="str">
        <f t="shared" si="16"/>
        <v>Year 29</v>
      </c>
      <c r="AE35" s="105" t="str">
        <f t="shared" si="16"/>
        <v>Year 30</v>
      </c>
      <c r="AG35" s="46" t="s">
        <v>166</v>
      </c>
    </row>
    <row r="36" spans="1:33" ht="15.75" x14ac:dyDescent="0.25">
      <c r="A36" s="97">
        <v>0.1</v>
      </c>
      <c r="B36" s="25">
        <f>+B6*0.2112</f>
        <v>7790688.7428479996</v>
      </c>
      <c r="C36" s="25">
        <f>(+B36/(1+$A$6))</f>
        <v>7082444.3116799993</v>
      </c>
      <c r="D36" s="25">
        <f>(+C36/(1+$A$6))</f>
        <v>6438585.7378909076</v>
      </c>
      <c r="E36" s="25">
        <f t="shared" ref="E36:AE36" si="17">(+D36/(1+$A$6))</f>
        <v>5853259.7617190061</v>
      </c>
      <c r="F36" s="25">
        <f t="shared" si="17"/>
        <v>5321145.2379263686</v>
      </c>
      <c r="G36" s="25">
        <f t="shared" si="17"/>
        <v>4837404.7617512438</v>
      </c>
      <c r="H36" s="25">
        <f t="shared" si="17"/>
        <v>4397640.6925011305</v>
      </c>
      <c r="I36" s="25">
        <f t="shared" si="17"/>
        <v>3997855.1750010275</v>
      </c>
      <c r="J36" s="25">
        <f t="shared" si="17"/>
        <v>3634413.7954554791</v>
      </c>
      <c r="K36" s="25">
        <f t="shared" si="17"/>
        <v>3304012.5413231626</v>
      </c>
      <c r="L36" s="25">
        <f t="shared" si="17"/>
        <v>3003647.7648392385</v>
      </c>
      <c r="M36" s="25">
        <f t="shared" si="17"/>
        <v>2730588.8771265801</v>
      </c>
      <c r="N36" s="25">
        <f t="shared" si="17"/>
        <v>2482353.5246605272</v>
      </c>
      <c r="O36" s="25">
        <f t="shared" si="17"/>
        <v>2256685.022418661</v>
      </c>
      <c r="P36" s="25">
        <f t="shared" si="17"/>
        <v>2051531.8385624189</v>
      </c>
      <c r="Q36" s="25">
        <f t="shared" si="17"/>
        <v>1865028.9441476534</v>
      </c>
      <c r="R36" s="25">
        <f t="shared" si="17"/>
        <v>1695480.8583160485</v>
      </c>
      <c r="S36" s="25">
        <f t="shared" si="17"/>
        <v>1541346.2348327714</v>
      </c>
      <c r="T36" s="25">
        <f t="shared" si="17"/>
        <v>1401223.8498479738</v>
      </c>
      <c r="U36" s="25">
        <f t="shared" si="17"/>
        <v>1273839.8634981578</v>
      </c>
      <c r="V36" s="25">
        <f t="shared" si="17"/>
        <v>1158036.2395437798</v>
      </c>
      <c r="W36" s="25">
        <f t="shared" si="17"/>
        <v>1052760.2177670724</v>
      </c>
      <c r="X36" s="25">
        <f t="shared" si="17"/>
        <v>957054.74342461117</v>
      </c>
      <c r="Y36" s="25">
        <f t="shared" si="17"/>
        <v>870049.7667496464</v>
      </c>
      <c r="Z36" s="25">
        <f t="shared" si="17"/>
        <v>790954.33340876934</v>
      </c>
      <c r="AA36" s="25">
        <f t="shared" si="17"/>
        <v>719049.39400797209</v>
      </c>
      <c r="AB36" s="25">
        <f t="shared" si="17"/>
        <v>653681.26727997453</v>
      </c>
      <c r="AC36" s="25">
        <f t="shared" si="17"/>
        <v>594255.69752724958</v>
      </c>
      <c r="AD36" s="25">
        <f t="shared" si="17"/>
        <v>540232.45229749952</v>
      </c>
      <c r="AE36" s="29">
        <f t="shared" si="17"/>
        <v>491120.41117954499</v>
      </c>
      <c r="AG36" s="46" t="s">
        <v>167</v>
      </c>
    </row>
    <row r="37" spans="1:33" x14ac:dyDescent="0.2">
      <c r="A37" s="97"/>
      <c r="B37" s="25">
        <f>+B36</f>
        <v>7790688.7428479996</v>
      </c>
      <c r="C37" s="25">
        <f t="shared" ref="C37:AE37" si="18">+C36+B37</f>
        <v>14873133.054527998</v>
      </c>
      <c r="D37" s="25">
        <f t="shared" si="18"/>
        <v>21311718.792418905</v>
      </c>
      <c r="E37" s="25">
        <f t="shared" si="18"/>
        <v>27164978.554137912</v>
      </c>
      <c r="F37" s="25">
        <f t="shared" si="18"/>
        <v>32486123.792064279</v>
      </c>
      <c r="G37" s="25">
        <f t="shared" si="18"/>
        <v>37323528.553815521</v>
      </c>
      <c r="H37" s="25">
        <f t="shared" si="18"/>
        <v>41721169.246316649</v>
      </c>
      <c r="I37" s="25">
        <f t="shared" si="18"/>
        <v>45719024.421317674</v>
      </c>
      <c r="J37" s="25">
        <f t="shared" si="18"/>
        <v>49353438.216773152</v>
      </c>
      <c r="K37" s="25">
        <f t="shared" si="18"/>
        <v>52657450.758096315</v>
      </c>
      <c r="L37" s="25">
        <f t="shared" si="18"/>
        <v>55661098.522935554</v>
      </c>
      <c r="M37" s="25">
        <f t="shared" si="18"/>
        <v>58391687.400062136</v>
      </c>
      <c r="N37" s="25">
        <f t="shared" si="18"/>
        <v>60874040.924722664</v>
      </c>
      <c r="O37" s="25">
        <f t="shared" si="18"/>
        <v>63130725.947141327</v>
      </c>
      <c r="P37" s="25">
        <f t="shared" si="18"/>
        <v>65182257.785703748</v>
      </c>
      <c r="Q37" s="25">
        <f t="shared" si="18"/>
        <v>67047286.729851402</v>
      </c>
      <c r="R37" s="25">
        <f t="shared" si="18"/>
        <v>68742767.588167444</v>
      </c>
      <c r="S37" s="25">
        <f t="shared" si="18"/>
        <v>70284113.823000222</v>
      </c>
      <c r="T37" s="25">
        <f t="shared" si="18"/>
        <v>71685337.672848195</v>
      </c>
      <c r="U37" s="25">
        <f t="shared" si="18"/>
        <v>72959177.536346346</v>
      </c>
      <c r="V37" s="25">
        <f t="shared" si="18"/>
        <v>74117213.775890127</v>
      </c>
      <c r="W37" s="25">
        <f t="shared" si="18"/>
        <v>75169973.993657202</v>
      </c>
      <c r="X37" s="25">
        <f t="shared" si="18"/>
        <v>76127028.737081811</v>
      </c>
      <c r="Y37" s="25">
        <f t="shared" si="18"/>
        <v>76997078.503831461</v>
      </c>
      <c r="Z37" s="25">
        <f t="shared" si="18"/>
        <v>77788032.837240234</v>
      </c>
      <c r="AA37" s="25">
        <f t="shared" si="18"/>
        <v>78507082.2312482</v>
      </c>
      <c r="AB37" s="25">
        <f t="shared" si="18"/>
        <v>79160763.498528168</v>
      </c>
      <c r="AC37" s="25">
        <f t="shared" si="18"/>
        <v>79755019.196055412</v>
      </c>
      <c r="AD37" s="25">
        <f t="shared" si="18"/>
        <v>80295251.648352906</v>
      </c>
      <c r="AE37" s="29">
        <f t="shared" si="18"/>
        <v>80786372.059532449</v>
      </c>
    </row>
    <row r="38" spans="1:33" x14ac:dyDescent="0.2">
      <c r="A38" s="97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9"/>
    </row>
    <row r="39" spans="1:33" x14ac:dyDescent="0.2">
      <c r="A39" s="97">
        <v>7.0000000000000007E-2</v>
      </c>
      <c r="B39" s="25">
        <f>+B36</f>
        <v>7790688.7428479996</v>
      </c>
      <c r="C39" s="25">
        <f>(+B39/(1+$A$9))</f>
        <v>7281017.5166803729</v>
      </c>
      <c r="D39" s="25">
        <f t="shared" ref="D39:AE39" si="19">(+C39/(1+$A$9))</f>
        <v>6804689.2679255819</v>
      </c>
      <c r="E39" s="25">
        <f t="shared" si="19"/>
        <v>6359522.6803042814</v>
      </c>
      <c r="F39" s="25">
        <f t="shared" si="19"/>
        <v>5943479.1404712908</v>
      </c>
      <c r="G39" s="25">
        <f t="shared" si="19"/>
        <v>5554653.402309617</v>
      </c>
      <c r="H39" s="25">
        <f t="shared" si="19"/>
        <v>5191264.8619716046</v>
      </c>
      <c r="I39" s="25">
        <f t="shared" si="19"/>
        <v>4851649.40371178</v>
      </c>
      <c r="J39" s="25">
        <f t="shared" si="19"/>
        <v>4534251.7791698873</v>
      </c>
      <c r="K39" s="25">
        <f t="shared" si="19"/>
        <v>4237618.4852055022</v>
      </c>
      <c r="L39" s="25">
        <f t="shared" si="19"/>
        <v>3960391.1076686936</v>
      </c>
      <c r="M39" s="25">
        <f t="shared" si="19"/>
        <v>3701300.1006249473</v>
      </c>
      <c r="N39" s="25">
        <f t="shared" si="19"/>
        <v>3459158.9725466794</v>
      </c>
      <c r="O39" s="25">
        <f t="shared" si="19"/>
        <v>3232858.8528473638</v>
      </c>
      <c r="P39" s="25">
        <f t="shared" si="19"/>
        <v>3021363.4138760408</v>
      </c>
      <c r="Q39" s="25">
        <f t="shared" si="19"/>
        <v>2823704.1251177951</v>
      </c>
      <c r="R39" s="25">
        <f t="shared" si="19"/>
        <v>2638975.8178670979</v>
      </c>
      <c r="S39" s="25">
        <f t="shared" si="19"/>
        <v>2466332.5400627083</v>
      </c>
      <c r="T39" s="25">
        <f t="shared" si="19"/>
        <v>2304983.6823015963</v>
      </c>
      <c r="U39" s="25">
        <f t="shared" si="19"/>
        <v>2154190.3572912114</v>
      </c>
      <c r="V39" s="25">
        <f t="shared" si="19"/>
        <v>2013262.0161600106</v>
      </c>
      <c r="W39" s="25">
        <f t="shared" si="19"/>
        <v>1881553.2861308509</v>
      </c>
      <c r="X39" s="25">
        <f t="shared" si="19"/>
        <v>1758461.0150755616</v>
      </c>
      <c r="Y39" s="25">
        <f t="shared" si="19"/>
        <v>1643421.5094164126</v>
      </c>
      <c r="Z39" s="25">
        <f t="shared" si="19"/>
        <v>1535907.9527256191</v>
      </c>
      <c r="AA39" s="25">
        <f t="shared" si="19"/>
        <v>1435427.9932015131</v>
      </c>
      <c r="AB39" s="25">
        <f t="shared" si="19"/>
        <v>1341521.4889733766</v>
      </c>
      <c r="AC39" s="25">
        <f t="shared" si="19"/>
        <v>1253758.4009096976</v>
      </c>
      <c r="AD39" s="25">
        <f t="shared" si="19"/>
        <v>1171736.8232800912</v>
      </c>
      <c r="AE39" s="29">
        <f t="shared" si="19"/>
        <v>1095081.1432524216</v>
      </c>
    </row>
    <row r="40" spans="1:33" x14ac:dyDescent="0.2">
      <c r="A40" s="97"/>
      <c r="B40" s="25">
        <f>+B39</f>
        <v>7790688.7428479996</v>
      </c>
      <c r="C40" s="25">
        <f t="shared" ref="C40:AE40" si="20">+C39+B40</f>
        <v>15071706.259528372</v>
      </c>
      <c r="D40" s="25">
        <f t="shared" si="20"/>
        <v>21876395.527453955</v>
      </c>
      <c r="E40" s="25">
        <f t="shared" si="20"/>
        <v>28235918.207758237</v>
      </c>
      <c r="F40" s="25">
        <f t="shared" si="20"/>
        <v>34179397.348229527</v>
      </c>
      <c r="G40" s="25">
        <f t="shared" si="20"/>
        <v>39734050.750539146</v>
      </c>
      <c r="H40" s="25">
        <f t="shared" si="20"/>
        <v>44925315.612510748</v>
      </c>
      <c r="I40" s="25">
        <f t="shared" si="20"/>
        <v>49776965.016222529</v>
      </c>
      <c r="J40" s="25">
        <f t="shared" si="20"/>
        <v>54311216.795392416</v>
      </c>
      <c r="K40" s="25">
        <f t="shared" si="20"/>
        <v>58548835.280597918</v>
      </c>
      <c r="L40" s="25">
        <f t="shared" si="20"/>
        <v>62509226.388266608</v>
      </c>
      <c r="M40" s="25">
        <f t="shared" si="20"/>
        <v>66210526.488891557</v>
      </c>
      <c r="N40" s="25">
        <f t="shared" si="20"/>
        <v>69669685.461438239</v>
      </c>
      <c r="O40" s="25">
        <f t="shared" si="20"/>
        <v>72902544.314285606</v>
      </c>
      <c r="P40" s="25">
        <f t="shared" si="20"/>
        <v>75923907.728161648</v>
      </c>
      <c r="Q40" s="25">
        <f t="shared" si="20"/>
        <v>78747611.853279442</v>
      </c>
      <c r="R40" s="25">
        <f t="shared" si="20"/>
        <v>81386587.671146542</v>
      </c>
      <c r="S40" s="25">
        <f t="shared" si="20"/>
        <v>83852920.211209252</v>
      </c>
      <c r="T40" s="25">
        <f t="shared" si="20"/>
        <v>86157903.893510848</v>
      </c>
      <c r="U40" s="25">
        <f t="shared" si="20"/>
        <v>88312094.250802055</v>
      </c>
      <c r="V40" s="25">
        <f t="shared" si="20"/>
        <v>90325356.266962066</v>
      </c>
      <c r="W40" s="25">
        <f t="shared" si="20"/>
        <v>92206909.553092912</v>
      </c>
      <c r="X40" s="25">
        <f t="shared" si="20"/>
        <v>93965370.568168476</v>
      </c>
      <c r="Y40" s="25">
        <f t="shared" si="20"/>
        <v>95608792.077584893</v>
      </c>
      <c r="Z40" s="25">
        <f t="shared" si="20"/>
        <v>97144700.030310512</v>
      </c>
      <c r="AA40" s="25">
        <f t="shared" si="20"/>
        <v>98580128.023512021</v>
      </c>
      <c r="AB40" s="25">
        <f t="shared" si="20"/>
        <v>99921649.5124854</v>
      </c>
      <c r="AC40" s="25">
        <f t="shared" si="20"/>
        <v>101175407.91339509</v>
      </c>
      <c r="AD40" s="25">
        <f t="shared" si="20"/>
        <v>102347144.73667519</v>
      </c>
      <c r="AE40" s="29">
        <f t="shared" si="20"/>
        <v>103442225.87992761</v>
      </c>
    </row>
    <row r="41" spans="1:33" x14ac:dyDescent="0.2">
      <c r="A41" s="9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9"/>
    </row>
    <row r="42" spans="1:33" x14ac:dyDescent="0.2">
      <c r="A42" s="97">
        <v>0.05</v>
      </c>
      <c r="B42" s="25">
        <f>+B36</f>
        <v>7790688.7428479996</v>
      </c>
      <c r="C42" s="25">
        <f>(+B42/(1+$A$12))</f>
        <v>7419703.5646171421</v>
      </c>
      <c r="D42" s="25">
        <f t="shared" ref="D42:AE42" si="21">(+C42/(1+$A$12))</f>
        <v>7066384.3472544206</v>
      </c>
      <c r="E42" s="25">
        <f t="shared" si="21"/>
        <v>6729889.8545280192</v>
      </c>
      <c r="F42" s="25">
        <f t="shared" si="21"/>
        <v>6409418.9090743037</v>
      </c>
      <c r="G42" s="25">
        <f t="shared" si="21"/>
        <v>6104208.4848326696</v>
      </c>
      <c r="H42" s="25">
        <f t="shared" si="21"/>
        <v>5813531.8903168282</v>
      </c>
      <c r="I42" s="25">
        <f t="shared" si="21"/>
        <v>5536697.0383969788</v>
      </c>
      <c r="J42" s="25">
        <f t="shared" si="21"/>
        <v>5273044.7984733125</v>
      </c>
      <c r="K42" s="25">
        <f t="shared" si="21"/>
        <v>5021947.4271174399</v>
      </c>
      <c r="L42" s="25">
        <f t="shared" si="21"/>
        <v>4782807.0734451804</v>
      </c>
      <c r="M42" s="25">
        <f t="shared" si="21"/>
        <v>4555054.3556620767</v>
      </c>
      <c r="N42" s="25">
        <f t="shared" si="21"/>
        <v>4338147.0053924536</v>
      </c>
      <c r="O42" s="25">
        <f t="shared" si="21"/>
        <v>4131568.5765642412</v>
      </c>
      <c r="P42" s="25">
        <f t="shared" si="21"/>
        <v>3934827.2157754675</v>
      </c>
      <c r="Q42" s="25">
        <f t="shared" si="21"/>
        <v>3747454.4912147308</v>
      </c>
      <c r="R42" s="25">
        <f t="shared" si="21"/>
        <v>3569004.2773473626</v>
      </c>
      <c r="S42" s="25">
        <f t="shared" si="21"/>
        <v>3399051.6927117738</v>
      </c>
      <c r="T42" s="25">
        <f t="shared" si="21"/>
        <v>3237192.0882969275</v>
      </c>
      <c r="U42" s="25">
        <f t="shared" si="21"/>
        <v>3083040.0840923116</v>
      </c>
      <c r="V42" s="25">
        <f t="shared" si="21"/>
        <v>2936228.6515164869</v>
      </c>
      <c r="W42" s="25">
        <f t="shared" si="21"/>
        <v>2796408.239539511</v>
      </c>
      <c r="X42" s="25">
        <f t="shared" si="21"/>
        <v>2663245.9424185818</v>
      </c>
      <c r="Y42" s="25">
        <f t="shared" si="21"/>
        <v>2536424.7070653159</v>
      </c>
      <c r="Z42" s="25">
        <f t="shared" si="21"/>
        <v>2415642.5781574436</v>
      </c>
      <c r="AA42" s="25">
        <f t="shared" si="21"/>
        <v>2300611.979197565</v>
      </c>
      <c r="AB42" s="25">
        <f t="shared" si="21"/>
        <v>2191059.0278072045</v>
      </c>
      <c r="AC42" s="25">
        <f t="shared" si="21"/>
        <v>2086722.883625909</v>
      </c>
      <c r="AD42" s="25">
        <f t="shared" si="21"/>
        <v>1987355.1272627704</v>
      </c>
      <c r="AE42" s="29">
        <f t="shared" si="21"/>
        <v>1892719.1688216859</v>
      </c>
    </row>
    <row r="43" spans="1:33" x14ac:dyDescent="0.2">
      <c r="A43" s="97"/>
      <c r="B43" s="25">
        <f>+B42</f>
        <v>7790688.7428479996</v>
      </c>
      <c r="C43" s="25">
        <f t="shared" ref="C43:AE43" si="22">+C42+B43</f>
        <v>15210392.307465142</v>
      </c>
      <c r="D43" s="25">
        <f t="shared" si="22"/>
        <v>22276776.654719561</v>
      </c>
      <c r="E43" s="25">
        <f t="shared" si="22"/>
        <v>29006666.509247579</v>
      </c>
      <c r="F43" s="25">
        <f t="shared" si="22"/>
        <v>35416085.418321885</v>
      </c>
      <c r="G43" s="25">
        <f t="shared" si="22"/>
        <v>41520293.903154552</v>
      </c>
      <c r="H43" s="25">
        <f t="shared" si="22"/>
        <v>47333825.793471381</v>
      </c>
      <c r="I43" s="25">
        <f t="shared" si="22"/>
        <v>52870522.831868358</v>
      </c>
      <c r="J43" s="25">
        <f t="shared" si="22"/>
        <v>58143567.630341671</v>
      </c>
      <c r="K43" s="25">
        <f t="shared" si="22"/>
        <v>63165515.057459109</v>
      </c>
      <c r="L43" s="25">
        <f t="shared" si="22"/>
        <v>67948322.130904287</v>
      </c>
      <c r="M43" s="25">
        <f t="shared" si="22"/>
        <v>72503376.486566365</v>
      </c>
      <c r="N43" s="25">
        <f t="shared" si="22"/>
        <v>76841523.491958812</v>
      </c>
      <c r="O43" s="25">
        <f t="shared" si="22"/>
        <v>80973092.068523049</v>
      </c>
      <c r="P43" s="25">
        <f t="shared" si="22"/>
        <v>84907919.284298509</v>
      </c>
      <c r="Q43" s="25">
        <f t="shared" si="22"/>
        <v>88655373.775513247</v>
      </c>
      <c r="R43" s="25">
        <f t="shared" si="22"/>
        <v>92224378.052860603</v>
      </c>
      <c r="S43" s="25">
        <f t="shared" si="22"/>
        <v>95623429.745572373</v>
      </c>
      <c r="T43" s="25">
        <f t="shared" si="22"/>
        <v>98860621.833869308</v>
      </c>
      <c r="U43" s="25">
        <f t="shared" si="22"/>
        <v>101943661.91796163</v>
      </c>
      <c r="V43" s="25">
        <f t="shared" si="22"/>
        <v>104879890.56947811</v>
      </c>
      <c r="W43" s="25">
        <f t="shared" si="22"/>
        <v>107676298.80901761</v>
      </c>
      <c r="X43" s="25">
        <f t="shared" si="22"/>
        <v>110339544.75143619</v>
      </c>
      <c r="Y43" s="25">
        <f t="shared" si="22"/>
        <v>112875969.4585015</v>
      </c>
      <c r="Z43" s="25">
        <f t="shared" si="22"/>
        <v>115291612.03665894</v>
      </c>
      <c r="AA43" s="25">
        <f t="shared" si="22"/>
        <v>117592224.0158565</v>
      </c>
      <c r="AB43" s="25">
        <f t="shared" si="22"/>
        <v>119783283.04366371</v>
      </c>
      <c r="AC43" s="25">
        <f t="shared" si="22"/>
        <v>121870005.92728962</v>
      </c>
      <c r="AD43" s="25">
        <f t="shared" si="22"/>
        <v>123857361.05455239</v>
      </c>
      <c r="AE43" s="29">
        <f t="shared" si="22"/>
        <v>125750080.22337408</v>
      </c>
    </row>
    <row r="44" spans="1:33" x14ac:dyDescent="0.2">
      <c r="A44" s="9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9"/>
    </row>
    <row r="45" spans="1:33" x14ac:dyDescent="0.2">
      <c r="A45" s="97">
        <v>0.03</v>
      </c>
      <c r="B45" s="25">
        <f>+B36</f>
        <v>7790688.7428479996</v>
      </c>
      <c r="C45" s="25">
        <f>(+B45/(1+$A$15))</f>
        <v>7563775.4784932034</v>
      </c>
      <c r="D45" s="25">
        <f t="shared" ref="D45:AE45" si="23">(+C45/(1+$A$15))</f>
        <v>7343471.3383429153</v>
      </c>
      <c r="E45" s="25">
        <f t="shared" si="23"/>
        <v>7129583.823633898</v>
      </c>
      <c r="F45" s="25">
        <f t="shared" si="23"/>
        <v>6921926.0423630076</v>
      </c>
      <c r="G45" s="25">
        <f t="shared" si="23"/>
        <v>6720316.5459835026</v>
      </c>
      <c r="H45" s="25">
        <f t="shared" si="23"/>
        <v>6524579.1708577694</v>
      </c>
      <c r="I45" s="25">
        <f t="shared" si="23"/>
        <v>6334542.8843279313</v>
      </c>
      <c r="J45" s="25">
        <f t="shared" si="23"/>
        <v>6150041.6352698365</v>
      </c>
      <c r="K45" s="25">
        <f t="shared" si="23"/>
        <v>5970914.2089998415</v>
      </c>
      <c r="L45" s="25">
        <f t="shared" si="23"/>
        <v>5797004.086407613</v>
      </c>
      <c r="M45" s="25">
        <f t="shared" si="23"/>
        <v>5628159.3071918571</v>
      </c>
      <c r="N45" s="25">
        <f t="shared" si="23"/>
        <v>5464232.3370794728</v>
      </c>
      <c r="O45" s="25">
        <f t="shared" si="23"/>
        <v>5305079.9389121095</v>
      </c>
      <c r="P45" s="25">
        <f t="shared" si="23"/>
        <v>5150563.0474874852</v>
      </c>
      <c r="Q45" s="25">
        <f t="shared" si="23"/>
        <v>5000546.6480461024</v>
      </c>
      <c r="R45" s="25">
        <f t="shared" si="23"/>
        <v>4854899.6582971867</v>
      </c>
      <c r="S45" s="25">
        <f t="shared" si="23"/>
        <v>4713494.8138807639</v>
      </c>
      <c r="T45" s="25">
        <f t="shared" si="23"/>
        <v>4576208.5571657903</v>
      </c>
      <c r="U45" s="25">
        <f t="shared" si="23"/>
        <v>4442920.9292871747</v>
      </c>
      <c r="V45" s="25">
        <f t="shared" si="23"/>
        <v>4313515.4653273541</v>
      </c>
      <c r="W45" s="25">
        <f t="shared" si="23"/>
        <v>4187879.0925508291</v>
      </c>
      <c r="X45" s="25">
        <f t="shared" si="23"/>
        <v>4065902.0316027463</v>
      </c>
      <c r="Y45" s="25">
        <f t="shared" si="23"/>
        <v>3947477.7005851907</v>
      </c>
      <c r="Z45" s="25">
        <f t="shared" si="23"/>
        <v>3832502.6219273694</v>
      </c>
      <c r="AA45" s="25">
        <f t="shared" si="23"/>
        <v>3720876.3319683196</v>
      </c>
      <c r="AB45" s="25">
        <f t="shared" si="23"/>
        <v>3612501.2931731259</v>
      </c>
      <c r="AC45" s="25">
        <f t="shared" si="23"/>
        <v>3507282.8089059475</v>
      </c>
      <c r="AD45" s="25">
        <f t="shared" si="23"/>
        <v>3405128.9406853858</v>
      </c>
      <c r="AE45" s="29">
        <f t="shared" si="23"/>
        <v>3305950.4278498893</v>
      </c>
    </row>
    <row r="46" spans="1:33" x14ac:dyDescent="0.2">
      <c r="A46" s="9"/>
      <c r="B46" s="25">
        <f>+B45</f>
        <v>7790688.7428479996</v>
      </c>
      <c r="C46" s="25">
        <f t="shared" ref="C46:AE46" si="24">+C45+B46</f>
        <v>15354464.221341204</v>
      </c>
      <c r="D46" s="25">
        <f t="shared" si="24"/>
        <v>22697935.55968412</v>
      </c>
      <c r="E46" s="25">
        <f t="shared" si="24"/>
        <v>29827519.383318018</v>
      </c>
      <c r="F46" s="25">
        <f t="shared" si="24"/>
        <v>36749445.425681025</v>
      </c>
      <c r="G46" s="25">
        <f t="shared" si="24"/>
        <v>43469761.971664526</v>
      </c>
      <c r="H46" s="25">
        <f t="shared" si="24"/>
        <v>49994341.142522298</v>
      </c>
      <c r="I46" s="25">
        <f t="shared" si="24"/>
        <v>56328884.026850231</v>
      </c>
      <c r="J46" s="25">
        <f t="shared" si="24"/>
        <v>62478925.662120067</v>
      </c>
      <c r="K46" s="25">
        <f t="shared" si="24"/>
        <v>68449839.871119902</v>
      </c>
      <c r="L46" s="25">
        <f t="shared" si="24"/>
        <v>74246843.957527518</v>
      </c>
      <c r="M46" s="25">
        <f t="shared" si="24"/>
        <v>79875003.264719382</v>
      </c>
      <c r="N46" s="25">
        <f t="shared" si="24"/>
        <v>85339235.601798862</v>
      </c>
      <c r="O46" s="25">
        <f t="shared" si="24"/>
        <v>90644315.540710971</v>
      </c>
      <c r="P46" s="25">
        <f t="shared" si="24"/>
        <v>95794878.588198453</v>
      </c>
      <c r="Q46" s="25">
        <f t="shared" si="24"/>
        <v>100795425.23624456</v>
      </c>
      <c r="R46" s="25">
        <f t="shared" si="24"/>
        <v>105650324.89454174</v>
      </c>
      <c r="S46" s="25">
        <f t="shared" si="24"/>
        <v>110363819.70842251</v>
      </c>
      <c r="T46" s="25">
        <f t="shared" si="24"/>
        <v>114940028.2655883</v>
      </c>
      <c r="U46" s="25">
        <f t="shared" si="24"/>
        <v>119382949.19487548</v>
      </c>
      <c r="V46" s="25">
        <f t="shared" si="24"/>
        <v>123696464.66020283</v>
      </c>
      <c r="W46" s="25">
        <f t="shared" si="24"/>
        <v>127884343.75275366</v>
      </c>
      <c r="X46" s="25">
        <f t="shared" si="24"/>
        <v>131950245.7843564</v>
      </c>
      <c r="Y46" s="25">
        <f t="shared" si="24"/>
        <v>135897723.4849416</v>
      </c>
      <c r="Z46" s="25">
        <f t="shared" si="24"/>
        <v>139730226.10686898</v>
      </c>
      <c r="AA46" s="25">
        <f t="shared" si="24"/>
        <v>143451102.43883729</v>
      </c>
      <c r="AB46" s="25">
        <f t="shared" si="24"/>
        <v>147063603.73201042</v>
      </c>
      <c r="AC46" s="25">
        <f t="shared" si="24"/>
        <v>150570886.54091638</v>
      </c>
      <c r="AD46" s="25">
        <f t="shared" si="24"/>
        <v>153976015.48160177</v>
      </c>
      <c r="AE46" s="29">
        <f t="shared" si="24"/>
        <v>157281965.90945166</v>
      </c>
    </row>
    <row r="47" spans="1:33" x14ac:dyDescent="0.2">
      <c r="A47" s="9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96"/>
    </row>
    <row r="48" spans="1:33" x14ac:dyDescent="0.2">
      <c r="A48" s="9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96"/>
    </row>
    <row r="49" spans="1:33" ht="15.75" x14ac:dyDescent="0.25">
      <c r="A49" s="110"/>
      <c r="B49" s="102" t="s">
        <v>86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11"/>
      <c r="AG49" s="183" t="s">
        <v>169</v>
      </c>
    </row>
    <row r="50" spans="1:33" s="46" customFormat="1" ht="15.75" x14ac:dyDescent="0.25">
      <c r="A50" s="19" t="s">
        <v>28</v>
      </c>
      <c r="B50" s="104" t="str">
        <f t="shared" ref="B50:AE50" si="25">+B5</f>
        <v>Year 1</v>
      </c>
      <c r="C50" s="104" t="str">
        <f t="shared" si="25"/>
        <v>Year 2</v>
      </c>
      <c r="D50" s="104" t="str">
        <f t="shared" si="25"/>
        <v>Year 3</v>
      </c>
      <c r="E50" s="104" t="str">
        <f t="shared" si="25"/>
        <v>Year 4</v>
      </c>
      <c r="F50" s="104" t="str">
        <f t="shared" si="25"/>
        <v>Year 5</v>
      </c>
      <c r="G50" s="104" t="str">
        <f t="shared" si="25"/>
        <v>Year 6</v>
      </c>
      <c r="H50" s="104" t="str">
        <f t="shared" si="25"/>
        <v>Year 7</v>
      </c>
      <c r="I50" s="104" t="str">
        <f t="shared" si="25"/>
        <v>Year 8</v>
      </c>
      <c r="J50" s="104" t="str">
        <f t="shared" si="25"/>
        <v>Year 9</v>
      </c>
      <c r="K50" s="104" t="str">
        <f t="shared" si="25"/>
        <v>Year 10</v>
      </c>
      <c r="L50" s="104" t="str">
        <f t="shared" si="25"/>
        <v>Year 11</v>
      </c>
      <c r="M50" s="104" t="str">
        <f t="shared" si="25"/>
        <v>Year 12</v>
      </c>
      <c r="N50" s="104" t="str">
        <f t="shared" si="25"/>
        <v>Year 13</v>
      </c>
      <c r="O50" s="104" t="str">
        <f t="shared" si="25"/>
        <v>Year 14</v>
      </c>
      <c r="P50" s="104" t="str">
        <f t="shared" si="25"/>
        <v>Year 15</v>
      </c>
      <c r="Q50" s="104" t="str">
        <f t="shared" si="25"/>
        <v>Year 16</v>
      </c>
      <c r="R50" s="104" t="str">
        <f t="shared" si="25"/>
        <v>Year 17</v>
      </c>
      <c r="S50" s="104" t="str">
        <f t="shared" si="25"/>
        <v>Year 18</v>
      </c>
      <c r="T50" s="104" t="str">
        <f t="shared" si="25"/>
        <v>Year 19</v>
      </c>
      <c r="U50" s="104" t="str">
        <f t="shared" si="25"/>
        <v>Year 20</v>
      </c>
      <c r="V50" s="104" t="str">
        <f t="shared" si="25"/>
        <v>Year 21</v>
      </c>
      <c r="W50" s="104" t="str">
        <f t="shared" si="25"/>
        <v>Year 22</v>
      </c>
      <c r="X50" s="104" t="str">
        <f t="shared" si="25"/>
        <v>Year 23</v>
      </c>
      <c r="Y50" s="104" t="str">
        <f t="shared" si="25"/>
        <v>Year 24</v>
      </c>
      <c r="Z50" s="104" t="str">
        <f t="shared" si="25"/>
        <v>Year 25</v>
      </c>
      <c r="AA50" s="104" t="str">
        <f t="shared" si="25"/>
        <v>Year 26</v>
      </c>
      <c r="AB50" s="104" t="str">
        <f t="shared" si="25"/>
        <v>Year 27</v>
      </c>
      <c r="AC50" s="104" t="str">
        <f t="shared" si="25"/>
        <v>Year 28</v>
      </c>
      <c r="AD50" s="104" t="str">
        <f t="shared" si="25"/>
        <v>Year 29</v>
      </c>
      <c r="AE50" s="105" t="str">
        <f t="shared" si="25"/>
        <v>Year 30</v>
      </c>
    </row>
    <row r="51" spans="1:33" x14ac:dyDescent="0.2">
      <c r="A51" s="97">
        <v>0.1</v>
      </c>
      <c r="B51" s="25">
        <f>+B16*0.25</f>
        <v>9221932.6974999998</v>
      </c>
      <c r="C51" s="25">
        <f>(+B51/(1+$A$6))</f>
        <v>8383575.1795454537</v>
      </c>
      <c r="D51" s="25">
        <f>(+C51/(1+$A$6))</f>
        <v>7621431.9814049574</v>
      </c>
      <c r="E51" s="25">
        <f t="shared" ref="E51:AE51" si="26">(+D51/(1+$A$6))</f>
        <v>6928574.5285499608</v>
      </c>
      <c r="F51" s="25">
        <f t="shared" si="26"/>
        <v>6298704.1168636</v>
      </c>
      <c r="G51" s="25">
        <f t="shared" si="26"/>
        <v>5726094.6516941814</v>
      </c>
      <c r="H51" s="25">
        <f t="shared" si="26"/>
        <v>5205540.5924492553</v>
      </c>
      <c r="I51" s="25">
        <f t="shared" si="26"/>
        <v>4732309.6294993227</v>
      </c>
      <c r="J51" s="25">
        <f t="shared" si="26"/>
        <v>4302099.6631812025</v>
      </c>
      <c r="K51" s="25">
        <f t="shared" si="26"/>
        <v>3910999.6938010929</v>
      </c>
      <c r="L51" s="25">
        <f t="shared" si="26"/>
        <v>3555454.2670919024</v>
      </c>
      <c r="M51" s="25">
        <f t="shared" si="26"/>
        <v>3232231.1519017294</v>
      </c>
      <c r="N51" s="25">
        <f t="shared" si="26"/>
        <v>2938391.9562742994</v>
      </c>
      <c r="O51" s="25">
        <f t="shared" si="26"/>
        <v>2671265.4147948176</v>
      </c>
      <c r="P51" s="25">
        <f t="shared" si="26"/>
        <v>2428423.104358925</v>
      </c>
      <c r="Q51" s="25">
        <f t="shared" si="26"/>
        <v>2207657.3675990226</v>
      </c>
      <c r="R51" s="25">
        <f t="shared" si="26"/>
        <v>2006961.2432718386</v>
      </c>
      <c r="S51" s="25">
        <f t="shared" si="26"/>
        <v>1824510.2211562167</v>
      </c>
      <c r="T51" s="25">
        <f t="shared" si="26"/>
        <v>1658645.6555965606</v>
      </c>
      <c r="U51" s="25">
        <f t="shared" si="26"/>
        <v>1507859.686905964</v>
      </c>
      <c r="V51" s="25">
        <f t="shared" si="26"/>
        <v>1370781.5335508762</v>
      </c>
      <c r="W51" s="25">
        <f t="shared" si="26"/>
        <v>1246165.0305007964</v>
      </c>
      <c r="X51" s="25">
        <f t="shared" si="26"/>
        <v>1132877.3004552694</v>
      </c>
      <c r="Y51" s="25">
        <f t="shared" si="26"/>
        <v>1029888.4549593357</v>
      </c>
      <c r="Z51" s="25">
        <f t="shared" si="26"/>
        <v>936262.23178121424</v>
      </c>
      <c r="AA51" s="25">
        <f t="shared" si="26"/>
        <v>851147.48343746748</v>
      </c>
      <c r="AB51" s="25">
        <f t="shared" si="26"/>
        <v>773770.43948860676</v>
      </c>
      <c r="AC51" s="25">
        <f t="shared" si="26"/>
        <v>703427.67226236977</v>
      </c>
      <c r="AD51" s="25">
        <f t="shared" si="26"/>
        <v>639479.70205669978</v>
      </c>
      <c r="AE51" s="29">
        <f t="shared" si="26"/>
        <v>581345.18368790881</v>
      </c>
    </row>
    <row r="52" spans="1:33" x14ac:dyDescent="0.2">
      <c r="A52" s="97"/>
      <c r="B52" s="25">
        <f>+B51</f>
        <v>9221932.6974999998</v>
      </c>
      <c r="C52" s="25">
        <f t="shared" ref="C52:AE52" si="27">+C51+B52</f>
        <v>17605507.877045453</v>
      </c>
      <c r="D52" s="25">
        <f t="shared" si="27"/>
        <v>25226939.858450409</v>
      </c>
      <c r="E52" s="25">
        <f t="shared" si="27"/>
        <v>32155514.387000371</v>
      </c>
      <c r="F52" s="25">
        <f t="shared" si="27"/>
        <v>38454218.503863968</v>
      </c>
      <c r="G52" s="25">
        <f t="shared" si="27"/>
        <v>44180313.155558147</v>
      </c>
      <c r="H52" s="25">
        <f t="shared" si="27"/>
        <v>49385853.748007402</v>
      </c>
      <c r="I52" s="25">
        <f t="shared" si="27"/>
        <v>54118163.377506725</v>
      </c>
      <c r="J52" s="25">
        <f t="shared" si="27"/>
        <v>58420263.040687926</v>
      </c>
      <c r="K52" s="25">
        <f t="shared" si="27"/>
        <v>62331262.734489016</v>
      </c>
      <c r="L52" s="25">
        <f t="shared" si="27"/>
        <v>65886717.001580916</v>
      </c>
      <c r="M52" s="25">
        <f t="shared" si="27"/>
        <v>69118948.153482646</v>
      </c>
      <c r="N52" s="25">
        <f t="shared" si="27"/>
        <v>72057340.109756947</v>
      </c>
      <c r="O52" s="25">
        <f t="shared" si="27"/>
        <v>74728605.524551764</v>
      </c>
      <c r="P52" s="25">
        <f t="shared" si="27"/>
        <v>77157028.628910691</v>
      </c>
      <c r="Q52" s="25">
        <f t="shared" si="27"/>
        <v>79364685.996509716</v>
      </c>
      <c r="R52" s="25">
        <f t="shared" si="27"/>
        <v>81371647.239781559</v>
      </c>
      <c r="S52" s="25">
        <f t="shared" si="27"/>
        <v>83196157.460937768</v>
      </c>
      <c r="T52" s="25">
        <f t="shared" si="27"/>
        <v>84854803.116534323</v>
      </c>
      <c r="U52" s="25">
        <f t="shared" si="27"/>
        <v>86362662.803440288</v>
      </c>
      <c r="V52" s="25">
        <f t="shared" si="27"/>
        <v>87733444.336991161</v>
      </c>
      <c r="W52" s="25">
        <f t="shared" si="27"/>
        <v>88979609.367491961</v>
      </c>
      <c r="X52" s="25">
        <f t="shared" si="27"/>
        <v>90112486.667947233</v>
      </c>
      <c r="Y52" s="25">
        <f t="shared" si="27"/>
        <v>91142375.122906566</v>
      </c>
      <c r="Z52" s="25">
        <f t="shared" si="27"/>
        <v>92078637.35468778</v>
      </c>
      <c r="AA52" s="25">
        <f t="shared" si="27"/>
        <v>92929784.838125244</v>
      </c>
      <c r="AB52" s="25">
        <f t="shared" si="27"/>
        <v>93703555.277613848</v>
      </c>
      <c r="AC52" s="25">
        <f t="shared" si="27"/>
        <v>94406982.949876219</v>
      </c>
      <c r="AD52" s="25">
        <f t="shared" si="27"/>
        <v>95046462.651932925</v>
      </c>
      <c r="AE52" s="29">
        <f t="shared" si="27"/>
        <v>95627807.835620835</v>
      </c>
    </row>
    <row r="53" spans="1:33" x14ac:dyDescent="0.2">
      <c r="A53" s="9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9"/>
    </row>
    <row r="54" spans="1:33" x14ac:dyDescent="0.2">
      <c r="A54" s="97">
        <v>7.0000000000000007E-2</v>
      </c>
      <c r="B54" s="25">
        <f>+B51</f>
        <v>9221932.6974999998</v>
      </c>
      <c r="C54" s="25">
        <f>(+B54/(1+$A$9))</f>
        <v>8618628.6892523356</v>
      </c>
      <c r="D54" s="25">
        <f t="shared" ref="D54:AE54" si="28">(+C54/(1+$A$9))</f>
        <v>8054793.1675255466</v>
      </c>
      <c r="E54" s="25">
        <f t="shared" si="28"/>
        <v>7527844.0817995761</v>
      </c>
      <c r="F54" s="25">
        <f t="shared" si="28"/>
        <v>7035368.300747267</v>
      </c>
      <c r="G54" s="25">
        <f t="shared" si="28"/>
        <v>6575110.5614460437</v>
      </c>
      <c r="H54" s="25">
        <f t="shared" si="28"/>
        <v>6144963.1415383583</v>
      </c>
      <c r="I54" s="25">
        <f t="shared" si="28"/>
        <v>5742956.2070451947</v>
      </c>
      <c r="J54" s="25">
        <f t="shared" si="28"/>
        <v>5367248.7916310225</v>
      </c>
      <c r="K54" s="25">
        <f t="shared" si="28"/>
        <v>5016120.3660103008</v>
      </c>
      <c r="L54" s="25">
        <f t="shared" si="28"/>
        <v>4687962.9588881312</v>
      </c>
      <c r="M54" s="25">
        <f t="shared" si="28"/>
        <v>4381273.7933533937</v>
      </c>
      <c r="N54" s="25">
        <f t="shared" si="28"/>
        <v>4094648.4050031714</v>
      </c>
      <c r="O54" s="25">
        <f t="shared" si="28"/>
        <v>3826774.2102833376</v>
      </c>
      <c r="P54" s="25">
        <f t="shared" si="28"/>
        <v>3576424.495591904</v>
      </c>
      <c r="Q54" s="25">
        <f t="shared" si="28"/>
        <v>3342452.7996186018</v>
      </c>
      <c r="R54" s="25">
        <f t="shared" si="28"/>
        <v>3123787.6631949549</v>
      </c>
      <c r="S54" s="25">
        <f t="shared" si="28"/>
        <v>2919427.7226121072</v>
      </c>
      <c r="T54" s="25">
        <f t="shared" si="28"/>
        <v>2728437.1239365488</v>
      </c>
      <c r="U54" s="25">
        <f t="shared" si="28"/>
        <v>2549941.2373238774</v>
      </c>
      <c r="V54" s="25">
        <f t="shared" si="28"/>
        <v>2383122.6517045582</v>
      </c>
      <c r="W54" s="25">
        <f t="shared" si="28"/>
        <v>2227217.4314995869</v>
      </c>
      <c r="X54" s="25">
        <f t="shared" si="28"/>
        <v>2081511.6182239128</v>
      </c>
      <c r="Y54" s="25">
        <f t="shared" si="28"/>
        <v>1945337.9609569276</v>
      </c>
      <c r="Z54" s="25">
        <f t="shared" si="28"/>
        <v>1818072.860707409</v>
      </c>
      <c r="AA54" s="25">
        <f t="shared" si="28"/>
        <v>1699133.5146798214</v>
      </c>
      <c r="AB54" s="25">
        <f t="shared" si="28"/>
        <v>1587975.2473643189</v>
      </c>
      <c r="AC54" s="25">
        <f t="shared" si="28"/>
        <v>1484089.0162283354</v>
      </c>
      <c r="AD54" s="25">
        <f t="shared" si="28"/>
        <v>1386999.0805872292</v>
      </c>
      <c r="AE54" s="29">
        <f t="shared" si="28"/>
        <v>1296260.8229787189</v>
      </c>
    </row>
    <row r="55" spans="1:33" x14ac:dyDescent="0.2">
      <c r="A55" s="97"/>
      <c r="B55" s="25">
        <f>+B54</f>
        <v>9221932.6974999998</v>
      </c>
      <c r="C55" s="25">
        <f t="shared" ref="C55:AE55" si="29">+C54+B55</f>
        <v>17840561.386752337</v>
      </c>
      <c r="D55" s="25">
        <f t="shared" si="29"/>
        <v>25895354.554277882</v>
      </c>
      <c r="E55" s="25">
        <f t="shared" si="29"/>
        <v>33423198.636077456</v>
      </c>
      <c r="F55" s="25">
        <f t="shared" si="29"/>
        <v>40458566.936824724</v>
      </c>
      <c r="G55" s="25">
        <f t="shared" si="29"/>
        <v>47033677.498270765</v>
      </c>
      <c r="H55" s="25">
        <f t="shared" si="29"/>
        <v>53178640.639809124</v>
      </c>
      <c r="I55" s="25">
        <f t="shared" si="29"/>
        <v>58921596.846854322</v>
      </c>
      <c r="J55" s="25">
        <f t="shared" si="29"/>
        <v>64288845.638485342</v>
      </c>
      <c r="K55" s="25">
        <f t="shared" si="29"/>
        <v>69304966.004495651</v>
      </c>
      <c r="L55" s="25">
        <f t="shared" si="29"/>
        <v>73992928.963383779</v>
      </c>
      <c r="M55" s="25">
        <f t="shared" si="29"/>
        <v>78374202.756737173</v>
      </c>
      <c r="N55" s="25">
        <f t="shared" si="29"/>
        <v>82468851.161740348</v>
      </c>
      <c r="O55" s="25">
        <f t="shared" si="29"/>
        <v>86295625.372023687</v>
      </c>
      <c r="P55" s="25">
        <f t="shared" si="29"/>
        <v>89872049.867615595</v>
      </c>
      <c r="Q55" s="25">
        <f t="shared" si="29"/>
        <v>93214502.667234197</v>
      </c>
      <c r="R55" s="25">
        <f t="shared" si="29"/>
        <v>96338290.330429152</v>
      </c>
      <c r="S55" s="25">
        <f t="shared" si="29"/>
        <v>99257718.053041264</v>
      </c>
      <c r="T55" s="25">
        <f t="shared" si="29"/>
        <v>101986155.17697781</v>
      </c>
      <c r="U55" s="25">
        <f t="shared" si="29"/>
        <v>104536096.41430169</v>
      </c>
      <c r="V55" s="25">
        <f t="shared" si="29"/>
        <v>106919219.06600626</v>
      </c>
      <c r="W55" s="25">
        <f t="shared" si="29"/>
        <v>109146436.49750584</v>
      </c>
      <c r="X55" s="25">
        <f t="shared" si="29"/>
        <v>111227948.11572975</v>
      </c>
      <c r="Y55" s="25">
        <f t="shared" si="29"/>
        <v>113173286.07668668</v>
      </c>
      <c r="Z55" s="25">
        <f t="shared" si="29"/>
        <v>114991358.93739408</v>
      </c>
      <c r="AA55" s="25">
        <f t="shared" si="29"/>
        <v>116690492.4520739</v>
      </c>
      <c r="AB55" s="25">
        <f t="shared" si="29"/>
        <v>118278467.69943821</v>
      </c>
      <c r="AC55" s="25">
        <f t="shared" si="29"/>
        <v>119762556.71566655</v>
      </c>
      <c r="AD55" s="25">
        <f t="shared" si="29"/>
        <v>121149555.79625377</v>
      </c>
      <c r="AE55" s="29">
        <f t="shared" si="29"/>
        <v>122445816.61923249</v>
      </c>
    </row>
    <row r="56" spans="1:33" x14ac:dyDescent="0.2">
      <c r="A56" s="9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9"/>
    </row>
    <row r="57" spans="1:33" x14ac:dyDescent="0.2">
      <c r="A57" s="97">
        <v>0.05</v>
      </c>
      <c r="B57" s="25">
        <f>+B51</f>
        <v>9221932.6974999998</v>
      </c>
      <c r="C57" s="25">
        <f>(+B57/(1+$A$12))</f>
        <v>8782793.0452380944</v>
      </c>
      <c r="D57" s="25">
        <f t="shared" ref="D57:AE57" si="30">(+C57/(1+$A$12))</f>
        <v>8364564.8049886608</v>
      </c>
      <c r="E57" s="25">
        <f t="shared" si="30"/>
        <v>7966252.1952272961</v>
      </c>
      <c r="F57" s="25">
        <f t="shared" si="30"/>
        <v>7586906.8525974248</v>
      </c>
      <c r="G57" s="25">
        <f t="shared" si="30"/>
        <v>7225625.5739023089</v>
      </c>
      <c r="H57" s="25">
        <f t="shared" si="30"/>
        <v>6881548.1656212462</v>
      </c>
      <c r="I57" s="25">
        <f t="shared" si="30"/>
        <v>6553855.3958297577</v>
      </c>
      <c r="J57" s="25">
        <f t="shared" si="30"/>
        <v>6241767.043647388</v>
      </c>
      <c r="K57" s="25">
        <f t="shared" si="30"/>
        <v>5944540.0415689405</v>
      </c>
      <c r="L57" s="25">
        <f t="shared" si="30"/>
        <v>5661466.7062561335</v>
      </c>
      <c r="M57" s="25">
        <f t="shared" si="30"/>
        <v>5391873.0535772694</v>
      </c>
      <c r="N57" s="25">
        <f t="shared" si="30"/>
        <v>5135117.1938831136</v>
      </c>
      <c r="O57" s="25">
        <f t="shared" si="30"/>
        <v>4890587.8036982035</v>
      </c>
      <c r="P57" s="25">
        <f t="shared" si="30"/>
        <v>4657702.670188765</v>
      </c>
      <c r="Q57" s="25">
        <f t="shared" si="30"/>
        <v>4435907.3049416812</v>
      </c>
      <c r="R57" s="25">
        <f t="shared" si="30"/>
        <v>4224673.6237539817</v>
      </c>
      <c r="S57" s="25">
        <f t="shared" si="30"/>
        <v>4023498.6892895061</v>
      </c>
      <c r="T57" s="25">
        <f t="shared" si="30"/>
        <v>3831903.5136090531</v>
      </c>
      <c r="U57" s="25">
        <f t="shared" si="30"/>
        <v>3649431.9177229074</v>
      </c>
      <c r="V57" s="25">
        <f t="shared" si="30"/>
        <v>3475649.4454503879</v>
      </c>
      <c r="W57" s="25">
        <f t="shared" si="30"/>
        <v>3310142.3290003692</v>
      </c>
      <c r="X57" s="25">
        <f t="shared" si="30"/>
        <v>3152516.5038098753</v>
      </c>
      <c r="Y57" s="25">
        <f t="shared" si="30"/>
        <v>3002396.6702951193</v>
      </c>
      <c r="Z57" s="25">
        <f t="shared" si="30"/>
        <v>2859425.4002810661</v>
      </c>
      <c r="AA57" s="25">
        <f t="shared" si="30"/>
        <v>2723262.2859819676</v>
      </c>
      <c r="AB57" s="25">
        <f t="shared" si="30"/>
        <v>2593583.1295066355</v>
      </c>
      <c r="AC57" s="25">
        <f t="shared" si="30"/>
        <v>2470079.1709587001</v>
      </c>
      <c r="AD57" s="25">
        <f t="shared" si="30"/>
        <v>2352456.353294</v>
      </c>
      <c r="AE57" s="29">
        <f t="shared" si="30"/>
        <v>2240434.6221847618</v>
      </c>
    </row>
    <row r="58" spans="1:33" x14ac:dyDescent="0.2">
      <c r="A58" s="97"/>
      <c r="B58" s="25">
        <f>+B57</f>
        <v>9221932.6974999998</v>
      </c>
      <c r="C58" s="25">
        <f t="shared" ref="C58:AE58" si="31">+C57+B58</f>
        <v>18004725.742738094</v>
      </c>
      <c r="D58" s="25">
        <f t="shared" si="31"/>
        <v>26369290.547726754</v>
      </c>
      <c r="E58" s="25">
        <f t="shared" si="31"/>
        <v>34335542.742954053</v>
      </c>
      <c r="F58" s="25">
        <f t="shared" si="31"/>
        <v>41922449.595551476</v>
      </c>
      <c r="G58" s="25">
        <f t="shared" si="31"/>
        <v>49148075.169453785</v>
      </c>
      <c r="H58" s="25">
        <f t="shared" si="31"/>
        <v>56029623.335075028</v>
      </c>
      <c r="I58" s="25">
        <f t="shared" si="31"/>
        <v>62583478.730904788</v>
      </c>
      <c r="J58" s="25">
        <f t="shared" si="31"/>
        <v>68825245.774552181</v>
      </c>
      <c r="K58" s="25">
        <f t="shared" si="31"/>
        <v>74769785.816121116</v>
      </c>
      <c r="L58" s="25">
        <f t="shared" si="31"/>
        <v>80431252.522377253</v>
      </c>
      <c r="M58" s="25">
        <f t="shared" si="31"/>
        <v>85823125.575954527</v>
      </c>
      <c r="N58" s="25">
        <f t="shared" si="31"/>
        <v>90958242.769837648</v>
      </c>
      <c r="O58" s="25">
        <f t="shared" si="31"/>
        <v>95848830.573535845</v>
      </c>
      <c r="P58" s="25">
        <f t="shared" si="31"/>
        <v>100506533.24372461</v>
      </c>
      <c r="Q58" s="25">
        <f t="shared" si="31"/>
        <v>104942440.5486663</v>
      </c>
      <c r="R58" s="25">
        <f t="shared" si="31"/>
        <v>109167114.17242028</v>
      </c>
      <c r="S58" s="25">
        <f t="shared" si="31"/>
        <v>113190612.86170979</v>
      </c>
      <c r="T58" s="25">
        <f t="shared" si="31"/>
        <v>117022516.37531884</v>
      </c>
      <c r="U58" s="25">
        <f t="shared" si="31"/>
        <v>120671948.29304175</v>
      </c>
      <c r="V58" s="25">
        <f t="shared" si="31"/>
        <v>124147597.73849213</v>
      </c>
      <c r="W58" s="25">
        <f t="shared" si="31"/>
        <v>127457740.0674925</v>
      </c>
      <c r="X58" s="25">
        <f t="shared" si="31"/>
        <v>130610256.57130237</v>
      </c>
      <c r="Y58" s="25">
        <f t="shared" si="31"/>
        <v>133612653.24159749</v>
      </c>
      <c r="Z58" s="25">
        <f t="shared" si="31"/>
        <v>136472078.64187855</v>
      </c>
      <c r="AA58" s="25">
        <f t="shared" si="31"/>
        <v>139195340.9278605</v>
      </c>
      <c r="AB58" s="25">
        <f t="shared" si="31"/>
        <v>141788924.05736715</v>
      </c>
      <c r="AC58" s="25">
        <f t="shared" si="31"/>
        <v>144259003.22832584</v>
      </c>
      <c r="AD58" s="25">
        <f t="shared" si="31"/>
        <v>146611459.58161986</v>
      </c>
      <c r="AE58" s="29">
        <f t="shared" si="31"/>
        <v>148851894.20380461</v>
      </c>
    </row>
    <row r="59" spans="1:33" x14ac:dyDescent="0.2">
      <c r="A59" s="9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9"/>
    </row>
    <row r="60" spans="1:33" x14ac:dyDescent="0.2">
      <c r="A60" s="97">
        <v>0.03</v>
      </c>
      <c r="B60" s="25">
        <f>+B51</f>
        <v>9221932.6974999998</v>
      </c>
      <c r="C60" s="25">
        <f>(+B60/(1+$A$15))</f>
        <v>8953332.7160194162</v>
      </c>
      <c r="D60" s="25">
        <f t="shared" ref="D60:AE60" si="32">(+C60/(1+$A$15))</f>
        <v>8692556.0349703077</v>
      </c>
      <c r="E60" s="25">
        <f t="shared" si="32"/>
        <v>8439374.7912333086</v>
      </c>
      <c r="F60" s="25">
        <f t="shared" si="32"/>
        <v>8193567.7584789405</v>
      </c>
      <c r="G60" s="25">
        <f t="shared" si="32"/>
        <v>7954920.1538630491</v>
      </c>
      <c r="H60" s="25">
        <f t="shared" si="32"/>
        <v>7723223.450352475</v>
      </c>
      <c r="I60" s="25">
        <f t="shared" si="32"/>
        <v>7498275.1945169661</v>
      </c>
      <c r="J60" s="25">
        <f t="shared" si="32"/>
        <v>7279878.829628122</v>
      </c>
      <c r="K60" s="25">
        <f t="shared" si="32"/>
        <v>7067843.5239107981</v>
      </c>
      <c r="L60" s="25">
        <f t="shared" si="32"/>
        <v>6861984.0037968913</v>
      </c>
      <c r="M60" s="25">
        <f t="shared" si="32"/>
        <v>6662120.3920358168</v>
      </c>
      <c r="N60" s="25">
        <f t="shared" si="32"/>
        <v>6468078.0505202105</v>
      </c>
      <c r="O60" s="25">
        <f t="shared" si="32"/>
        <v>6279687.4276895244</v>
      </c>
      <c r="P60" s="25">
        <f t="shared" si="32"/>
        <v>6096783.9103781786</v>
      </c>
      <c r="Q60" s="25">
        <f t="shared" si="32"/>
        <v>5919207.679978814</v>
      </c>
      <c r="R60" s="25">
        <f t="shared" si="32"/>
        <v>5746803.5727949645</v>
      </c>
      <c r="S60" s="25">
        <f t="shared" si="32"/>
        <v>5579420.9444611305</v>
      </c>
      <c r="T60" s="25">
        <f t="shared" si="32"/>
        <v>5416913.5383117767</v>
      </c>
      <c r="U60" s="25">
        <f t="shared" si="32"/>
        <v>5259139.3575842492</v>
      </c>
      <c r="V60" s="25">
        <f t="shared" si="32"/>
        <v>5105960.5413439311</v>
      </c>
      <c r="W60" s="25">
        <f t="shared" si="32"/>
        <v>4957243.2440232337</v>
      </c>
      <c r="X60" s="25">
        <f t="shared" si="32"/>
        <v>4812857.5184691586</v>
      </c>
      <c r="Y60" s="25">
        <f t="shared" si="32"/>
        <v>4672677.2023972413</v>
      </c>
      <c r="Z60" s="25">
        <f t="shared" si="32"/>
        <v>4536579.8081526617</v>
      </c>
      <c r="AA60" s="25">
        <f t="shared" si="32"/>
        <v>4404446.4156821957</v>
      </c>
      <c r="AB60" s="25">
        <f t="shared" si="32"/>
        <v>4276161.5686234906</v>
      </c>
      <c r="AC60" s="25">
        <f t="shared" si="32"/>
        <v>4151613.1734208646</v>
      </c>
      <c r="AD60" s="25">
        <f t="shared" si="32"/>
        <v>4030692.40137948</v>
      </c>
      <c r="AE60" s="29">
        <f t="shared" si="32"/>
        <v>3913293.5935723106</v>
      </c>
    </row>
    <row r="61" spans="1:33" x14ac:dyDescent="0.2">
      <c r="A61" s="9"/>
      <c r="B61" s="25">
        <f>+B60</f>
        <v>9221932.6974999998</v>
      </c>
      <c r="C61" s="25">
        <f t="shared" ref="C61:AE61" si="33">+C60+B61</f>
        <v>18175265.413519416</v>
      </c>
      <c r="D61" s="25">
        <f t="shared" si="33"/>
        <v>26867821.448489726</v>
      </c>
      <c r="E61" s="25">
        <f t="shared" si="33"/>
        <v>35307196.239723034</v>
      </c>
      <c r="F61" s="25">
        <f t="shared" si="33"/>
        <v>43500763.998201974</v>
      </c>
      <c r="G61" s="25">
        <f t="shared" si="33"/>
        <v>51455684.152065024</v>
      </c>
      <c r="H61" s="25">
        <f t="shared" si="33"/>
        <v>59178907.602417499</v>
      </c>
      <c r="I61" s="25">
        <f t="shared" si="33"/>
        <v>66677182.796934463</v>
      </c>
      <c r="J61" s="25">
        <f t="shared" si="33"/>
        <v>73957061.62656258</v>
      </c>
      <c r="K61" s="25">
        <f t="shared" si="33"/>
        <v>81024905.150473386</v>
      </c>
      <c r="L61" s="25">
        <f t="shared" si="33"/>
        <v>87886889.154270276</v>
      </c>
      <c r="M61" s="25">
        <f t="shared" si="33"/>
        <v>94549009.546306089</v>
      </c>
      <c r="N61" s="25">
        <f t="shared" si="33"/>
        <v>101017087.5968263</v>
      </c>
      <c r="O61" s="25">
        <f t="shared" si="33"/>
        <v>107296775.02451582</v>
      </c>
      <c r="P61" s="25">
        <f t="shared" si="33"/>
        <v>113393558.934894</v>
      </c>
      <c r="Q61" s="25">
        <f t="shared" si="33"/>
        <v>119312766.61487281</v>
      </c>
      <c r="R61" s="25">
        <f t="shared" si="33"/>
        <v>125059570.18766777</v>
      </c>
      <c r="S61" s="25">
        <f t="shared" si="33"/>
        <v>130638991.13212891</v>
      </c>
      <c r="T61" s="25">
        <f t="shared" si="33"/>
        <v>136055904.67044067</v>
      </c>
      <c r="U61" s="25">
        <f t="shared" si="33"/>
        <v>141315044.02802491</v>
      </c>
      <c r="V61" s="25">
        <f t="shared" si="33"/>
        <v>146421004.56936884</v>
      </c>
      <c r="W61" s="25">
        <f t="shared" si="33"/>
        <v>151378247.81339207</v>
      </c>
      <c r="X61" s="25">
        <f t="shared" si="33"/>
        <v>156191105.33186123</v>
      </c>
      <c r="Y61" s="25">
        <f t="shared" si="33"/>
        <v>160863782.53425846</v>
      </c>
      <c r="Z61" s="25">
        <f t="shared" si="33"/>
        <v>165400362.34241113</v>
      </c>
      <c r="AA61" s="25">
        <f t="shared" si="33"/>
        <v>169804808.75809333</v>
      </c>
      <c r="AB61" s="25">
        <f t="shared" si="33"/>
        <v>174080970.32671681</v>
      </c>
      <c r="AC61" s="25">
        <f t="shared" si="33"/>
        <v>178232583.50013769</v>
      </c>
      <c r="AD61" s="25">
        <f t="shared" si="33"/>
        <v>182263275.90151715</v>
      </c>
      <c r="AE61" s="29">
        <f t="shared" si="33"/>
        <v>186176569.49508947</v>
      </c>
    </row>
    <row r="62" spans="1:33" x14ac:dyDescent="0.2">
      <c r="A62" s="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96"/>
    </row>
    <row r="63" spans="1:33" x14ac:dyDescent="0.2">
      <c r="A63" s="9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96"/>
    </row>
    <row r="64" spans="1:33" ht="15.75" x14ac:dyDescent="0.25">
      <c r="A64" s="110"/>
      <c r="B64" s="102" t="s">
        <v>80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11"/>
    </row>
    <row r="65" spans="1:31" s="46" customFormat="1" ht="15.75" x14ac:dyDescent="0.25">
      <c r="A65" s="19" t="s">
        <v>28</v>
      </c>
      <c r="B65" s="104" t="str">
        <f t="shared" ref="B65:AE65" si="34">+B5</f>
        <v>Year 1</v>
      </c>
      <c r="C65" s="104" t="str">
        <f t="shared" si="34"/>
        <v>Year 2</v>
      </c>
      <c r="D65" s="104" t="str">
        <f t="shared" si="34"/>
        <v>Year 3</v>
      </c>
      <c r="E65" s="104" t="str">
        <f t="shared" si="34"/>
        <v>Year 4</v>
      </c>
      <c r="F65" s="104" t="str">
        <f t="shared" si="34"/>
        <v>Year 5</v>
      </c>
      <c r="G65" s="104" t="str">
        <f t="shared" si="34"/>
        <v>Year 6</v>
      </c>
      <c r="H65" s="104" t="str">
        <f t="shared" si="34"/>
        <v>Year 7</v>
      </c>
      <c r="I65" s="104" t="str">
        <f t="shared" si="34"/>
        <v>Year 8</v>
      </c>
      <c r="J65" s="104" t="str">
        <f t="shared" si="34"/>
        <v>Year 9</v>
      </c>
      <c r="K65" s="104" t="str">
        <f t="shared" si="34"/>
        <v>Year 10</v>
      </c>
      <c r="L65" s="104" t="str">
        <f t="shared" si="34"/>
        <v>Year 11</v>
      </c>
      <c r="M65" s="104" t="str">
        <f t="shared" si="34"/>
        <v>Year 12</v>
      </c>
      <c r="N65" s="104" t="str">
        <f t="shared" si="34"/>
        <v>Year 13</v>
      </c>
      <c r="O65" s="104" t="str">
        <f t="shared" si="34"/>
        <v>Year 14</v>
      </c>
      <c r="P65" s="104" t="str">
        <f t="shared" si="34"/>
        <v>Year 15</v>
      </c>
      <c r="Q65" s="104" t="str">
        <f t="shared" si="34"/>
        <v>Year 16</v>
      </c>
      <c r="R65" s="104" t="str">
        <f t="shared" si="34"/>
        <v>Year 17</v>
      </c>
      <c r="S65" s="104" t="str">
        <f t="shared" si="34"/>
        <v>Year 18</v>
      </c>
      <c r="T65" s="104" t="str">
        <f t="shared" si="34"/>
        <v>Year 19</v>
      </c>
      <c r="U65" s="104" t="str">
        <f t="shared" si="34"/>
        <v>Year 20</v>
      </c>
      <c r="V65" s="104" t="str">
        <f t="shared" si="34"/>
        <v>Year 21</v>
      </c>
      <c r="W65" s="104" t="str">
        <f t="shared" si="34"/>
        <v>Year 22</v>
      </c>
      <c r="X65" s="104" t="str">
        <f t="shared" si="34"/>
        <v>Year 23</v>
      </c>
      <c r="Y65" s="104" t="str">
        <f t="shared" si="34"/>
        <v>Year 24</v>
      </c>
      <c r="Z65" s="104" t="str">
        <f t="shared" si="34"/>
        <v>Year 25</v>
      </c>
      <c r="AA65" s="104" t="str">
        <f t="shared" si="34"/>
        <v>Year 26</v>
      </c>
      <c r="AB65" s="104" t="str">
        <f t="shared" si="34"/>
        <v>Year 27</v>
      </c>
      <c r="AC65" s="104" t="str">
        <f t="shared" si="34"/>
        <v>Year 28</v>
      </c>
      <c r="AD65" s="104" t="str">
        <f t="shared" si="34"/>
        <v>Year 29</v>
      </c>
      <c r="AE65" s="105" t="str">
        <f t="shared" si="34"/>
        <v>Year 30</v>
      </c>
    </row>
    <row r="66" spans="1:31" x14ac:dyDescent="0.2">
      <c r="A66" s="97">
        <v>0.1</v>
      </c>
      <c r="B66" s="200">
        <f>+'Entry Required'!B16*12</f>
        <v>890390.04</v>
      </c>
      <c r="C66" s="25">
        <f>(+B66/(1+$A$6))</f>
        <v>809445.49090909085</v>
      </c>
      <c r="D66" s="25">
        <f>(+C66/(1+$A$6))</f>
        <v>735859.53719008248</v>
      </c>
      <c r="E66" s="25">
        <f t="shared" ref="E66:AE66" si="35">(+D66/(1+$A$6))</f>
        <v>668963.2156273477</v>
      </c>
      <c r="F66" s="25">
        <f t="shared" si="35"/>
        <v>608148.3778430433</v>
      </c>
      <c r="G66" s="25">
        <f t="shared" si="35"/>
        <v>552862.16167549381</v>
      </c>
      <c r="H66" s="25">
        <f t="shared" si="35"/>
        <v>502601.96515953977</v>
      </c>
      <c r="I66" s="25">
        <f t="shared" si="35"/>
        <v>456910.8774177634</v>
      </c>
      <c r="J66" s="25">
        <f t="shared" si="35"/>
        <v>415373.52492523944</v>
      </c>
      <c r="K66" s="25">
        <f t="shared" si="35"/>
        <v>377612.29538658127</v>
      </c>
      <c r="L66" s="25">
        <f t="shared" si="35"/>
        <v>343283.90489689203</v>
      </c>
      <c r="M66" s="25">
        <f t="shared" si="35"/>
        <v>312076.27717899275</v>
      </c>
      <c r="N66" s="25">
        <f t="shared" si="35"/>
        <v>283705.70652635704</v>
      </c>
      <c r="O66" s="25">
        <f t="shared" si="35"/>
        <v>257914.27866032455</v>
      </c>
      <c r="P66" s="25">
        <f t="shared" si="35"/>
        <v>234467.52605484048</v>
      </c>
      <c r="Q66" s="25">
        <f t="shared" si="35"/>
        <v>213152.29641349133</v>
      </c>
      <c r="R66" s="25">
        <f t="shared" si="35"/>
        <v>193774.81492135575</v>
      </c>
      <c r="S66" s="25">
        <f t="shared" si="35"/>
        <v>176158.92265577795</v>
      </c>
      <c r="T66" s="25">
        <f t="shared" si="35"/>
        <v>160144.47514161631</v>
      </c>
      <c r="U66" s="25">
        <f t="shared" si="35"/>
        <v>145585.88649237846</v>
      </c>
      <c r="V66" s="25">
        <f t="shared" si="35"/>
        <v>132350.80590216222</v>
      </c>
      <c r="W66" s="25">
        <f t="shared" si="35"/>
        <v>120318.91445651109</v>
      </c>
      <c r="X66" s="25">
        <f t="shared" si="35"/>
        <v>109380.83132410099</v>
      </c>
      <c r="Y66" s="25">
        <f t="shared" si="35"/>
        <v>99437.11938554635</v>
      </c>
      <c r="Z66" s="25">
        <f t="shared" si="35"/>
        <v>90397.381259587579</v>
      </c>
      <c r="AA66" s="25">
        <f t="shared" si="35"/>
        <v>82179.437508715971</v>
      </c>
      <c r="AB66" s="25">
        <f t="shared" si="35"/>
        <v>74708.579553378149</v>
      </c>
      <c r="AC66" s="25">
        <f t="shared" si="35"/>
        <v>67916.890503071045</v>
      </c>
      <c r="AD66" s="25">
        <f t="shared" si="35"/>
        <v>61742.627730064582</v>
      </c>
      <c r="AE66" s="29">
        <f t="shared" si="35"/>
        <v>56129.661572785975</v>
      </c>
    </row>
    <row r="67" spans="1:31" x14ac:dyDescent="0.2">
      <c r="A67" s="97"/>
      <c r="B67" s="25">
        <f>+B66</f>
        <v>890390.04</v>
      </c>
      <c r="C67" s="25">
        <f t="shared" ref="C67:AE67" si="36">+C66+B67</f>
        <v>1699835.5309090908</v>
      </c>
      <c r="D67" s="25">
        <f t="shared" si="36"/>
        <v>2435695.0680991733</v>
      </c>
      <c r="E67" s="25">
        <f t="shared" si="36"/>
        <v>3104658.2837265208</v>
      </c>
      <c r="F67" s="25">
        <f t="shared" si="36"/>
        <v>3712806.6615695641</v>
      </c>
      <c r="G67" s="25">
        <f t="shared" si="36"/>
        <v>4265668.8232450578</v>
      </c>
      <c r="H67" s="25">
        <f t="shared" si="36"/>
        <v>4768270.7884045979</v>
      </c>
      <c r="I67" s="25">
        <f t="shared" si="36"/>
        <v>5225181.6658223616</v>
      </c>
      <c r="J67" s="25">
        <f t="shared" si="36"/>
        <v>5640555.190747601</v>
      </c>
      <c r="K67" s="25">
        <f t="shared" si="36"/>
        <v>6018167.4861341827</v>
      </c>
      <c r="L67" s="25">
        <f t="shared" si="36"/>
        <v>6361451.3910310743</v>
      </c>
      <c r="M67" s="25">
        <f t="shared" si="36"/>
        <v>6673527.6682100669</v>
      </c>
      <c r="N67" s="25">
        <f t="shared" si="36"/>
        <v>6957233.3747364236</v>
      </c>
      <c r="O67" s="25">
        <f t="shared" si="36"/>
        <v>7215147.653396748</v>
      </c>
      <c r="P67" s="25">
        <f t="shared" si="36"/>
        <v>7449615.1794515885</v>
      </c>
      <c r="Q67" s="25">
        <f t="shared" si="36"/>
        <v>7662767.47586508</v>
      </c>
      <c r="R67" s="25">
        <f t="shared" si="36"/>
        <v>7856542.2907864358</v>
      </c>
      <c r="S67" s="25">
        <f t="shared" si="36"/>
        <v>8032701.2134422138</v>
      </c>
      <c r="T67" s="25">
        <f t="shared" si="36"/>
        <v>8192845.6885838304</v>
      </c>
      <c r="U67" s="25">
        <f t="shared" si="36"/>
        <v>8338431.5750762084</v>
      </c>
      <c r="V67" s="25">
        <f t="shared" si="36"/>
        <v>8470782.3809783701</v>
      </c>
      <c r="W67" s="25">
        <f t="shared" si="36"/>
        <v>8591101.295434881</v>
      </c>
      <c r="X67" s="25">
        <f t="shared" si="36"/>
        <v>8700482.1267589815</v>
      </c>
      <c r="Y67" s="25">
        <f t="shared" si="36"/>
        <v>8799919.2461445276</v>
      </c>
      <c r="Z67" s="25">
        <f t="shared" si="36"/>
        <v>8890316.6274041142</v>
      </c>
      <c r="AA67" s="25">
        <f t="shared" si="36"/>
        <v>8972496.0649128295</v>
      </c>
      <c r="AB67" s="25">
        <f t="shared" si="36"/>
        <v>9047204.6444662083</v>
      </c>
      <c r="AC67" s="25">
        <f t="shared" si="36"/>
        <v>9115121.5349692795</v>
      </c>
      <c r="AD67" s="25">
        <f t="shared" si="36"/>
        <v>9176864.1626993436</v>
      </c>
      <c r="AE67" s="29">
        <f t="shared" si="36"/>
        <v>9232993.8242721297</v>
      </c>
    </row>
    <row r="68" spans="1:31" x14ac:dyDescent="0.2">
      <c r="A68" s="9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9"/>
    </row>
    <row r="69" spans="1:31" x14ac:dyDescent="0.2">
      <c r="A69" s="97">
        <v>7.0000000000000007E-2</v>
      </c>
      <c r="B69" s="25">
        <f>+B66</f>
        <v>890390.04</v>
      </c>
      <c r="C69" s="25">
        <f>(+B69/(1+$A$9))</f>
        <v>832140.22429906542</v>
      </c>
      <c r="D69" s="25">
        <f t="shared" ref="D69:AE69" si="37">(+C69/(1+$A$9))</f>
        <v>777701.14420473401</v>
      </c>
      <c r="E69" s="25">
        <f t="shared" si="37"/>
        <v>726823.4992567607</v>
      </c>
      <c r="F69" s="25">
        <f t="shared" si="37"/>
        <v>679274.2983708044</v>
      </c>
      <c r="G69" s="25">
        <f t="shared" si="37"/>
        <v>634835.7928699106</v>
      </c>
      <c r="H69" s="25">
        <f t="shared" si="37"/>
        <v>593304.47931767337</v>
      </c>
      <c r="I69" s="25">
        <f t="shared" si="37"/>
        <v>554490.16758661054</v>
      </c>
      <c r="J69" s="25">
        <f t="shared" si="37"/>
        <v>518215.10989402852</v>
      </c>
      <c r="K69" s="25">
        <f t="shared" si="37"/>
        <v>484313.18681684905</v>
      </c>
      <c r="L69" s="25">
        <f t="shared" si="37"/>
        <v>452629.1465578028</v>
      </c>
      <c r="M69" s="25">
        <f t="shared" si="37"/>
        <v>423017.89397925494</v>
      </c>
      <c r="N69" s="25">
        <f t="shared" si="37"/>
        <v>395343.82614883635</v>
      </c>
      <c r="O69" s="25">
        <f t="shared" si="37"/>
        <v>369480.21135405265</v>
      </c>
      <c r="P69" s="25">
        <f t="shared" si="37"/>
        <v>345308.60874210525</v>
      </c>
      <c r="Q69" s="25">
        <f t="shared" si="37"/>
        <v>322718.32592720113</v>
      </c>
      <c r="R69" s="25">
        <f t="shared" si="37"/>
        <v>301605.91208149638</v>
      </c>
      <c r="S69" s="25">
        <f t="shared" si="37"/>
        <v>281874.68418831436</v>
      </c>
      <c r="T69" s="25">
        <f t="shared" si="37"/>
        <v>263434.28428814426</v>
      </c>
      <c r="U69" s="25">
        <f t="shared" si="37"/>
        <v>246200.26568985442</v>
      </c>
      <c r="V69" s="25">
        <f t="shared" si="37"/>
        <v>230093.70625220038</v>
      </c>
      <c r="W69" s="25">
        <f t="shared" si="37"/>
        <v>215040.84696467326</v>
      </c>
      <c r="X69" s="25">
        <f t="shared" si="37"/>
        <v>200972.75417259181</v>
      </c>
      <c r="Y69" s="25">
        <f t="shared" si="37"/>
        <v>187825.00389961852</v>
      </c>
      <c r="Z69" s="25">
        <f t="shared" si="37"/>
        <v>175537.38682207337</v>
      </c>
      <c r="AA69" s="25">
        <f t="shared" si="37"/>
        <v>164053.63254399379</v>
      </c>
      <c r="AB69" s="25">
        <f t="shared" si="37"/>
        <v>153321.15191027455</v>
      </c>
      <c r="AC69" s="25">
        <f t="shared" si="37"/>
        <v>143290.79617782668</v>
      </c>
      <c r="AD69" s="25">
        <f t="shared" si="37"/>
        <v>133916.63194189407</v>
      </c>
      <c r="AE69" s="29">
        <f t="shared" si="37"/>
        <v>125155.73078681689</v>
      </c>
    </row>
    <row r="70" spans="1:31" x14ac:dyDescent="0.2">
      <c r="A70" s="97"/>
      <c r="B70" s="25">
        <f>+B69</f>
        <v>890390.04</v>
      </c>
      <c r="C70" s="25">
        <f t="shared" ref="C70:AE70" si="38">+C69+B70</f>
        <v>1722530.2642990653</v>
      </c>
      <c r="D70" s="25">
        <f t="shared" si="38"/>
        <v>2500231.4085037992</v>
      </c>
      <c r="E70" s="25">
        <f t="shared" si="38"/>
        <v>3227054.90776056</v>
      </c>
      <c r="F70" s="25">
        <f t="shared" si="38"/>
        <v>3906329.2061313642</v>
      </c>
      <c r="G70" s="25">
        <f t="shared" si="38"/>
        <v>4541164.9990012748</v>
      </c>
      <c r="H70" s="25">
        <f t="shared" si="38"/>
        <v>5134469.4783189483</v>
      </c>
      <c r="I70" s="25">
        <f t="shared" si="38"/>
        <v>5688959.645905559</v>
      </c>
      <c r="J70" s="25">
        <f t="shared" si="38"/>
        <v>6207174.7557995878</v>
      </c>
      <c r="K70" s="25">
        <f t="shared" si="38"/>
        <v>6691487.9426164366</v>
      </c>
      <c r="L70" s="25">
        <f t="shared" si="38"/>
        <v>7144117.089174239</v>
      </c>
      <c r="M70" s="25">
        <f t="shared" si="38"/>
        <v>7567134.9831534941</v>
      </c>
      <c r="N70" s="25">
        <f t="shared" si="38"/>
        <v>7962478.80930233</v>
      </c>
      <c r="O70" s="25">
        <f t="shared" si="38"/>
        <v>8331959.0206563827</v>
      </c>
      <c r="P70" s="25">
        <f t="shared" si="38"/>
        <v>8677267.6293984875</v>
      </c>
      <c r="Q70" s="25">
        <f t="shared" si="38"/>
        <v>8999985.9553256892</v>
      </c>
      <c r="R70" s="25">
        <f t="shared" si="38"/>
        <v>9301591.867407186</v>
      </c>
      <c r="S70" s="25">
        <f t="shared" si="38"/>
        <v>9583466.5515954997</v>
      </c>
      <c r="T70" s="25">
        <f t="shared" si="38"/>
        <v>9846900.8358836435</v>
      </c>
      <c r="U70" s="25">
        <f t="shared" si="38"/>
        <v>10093101.101573497</v>
      </c>
      <c r="V70" s="25">
        <f t="shared" si="38"/>
        <v>10323194.807825698</v>
      </c>
      <c r="W70" s="25">
        <f t="shared" si="38"/>
        <v>10538235.654790372</v>
      </c>
      <c r="X70" s="25">
        <f t="shared" si="38"/>
        <v>10739208.408962963</v>
      </c>
      <c r="Y70" s="25">
        <f t="shared" si="38"/>
        <v>10927033.412862582</v>
      </c>
      <c r="Z70" s="25">
        <f t="shared" si="38"/>
        <v>11102570.799684655</v>
      </c>
      <c r="AA70" s="25">
        <f t="shared" si="38"/>
        <v>11266624.432228649</v>
      </c>
      <c r="AB70" s="25">
        <f t="shared" si="38"/>
        <v>11419945.584138924</v>
      </c>
      <c r="AC70" s="25">
        <f t="shared" si="38"/>
        <v>11563236.380316751</v>
      </c>
      <c r="AD70" s="25">
        <f t="shared" si="38"/>
        <v>11697153.012258645</v>
      </c>
      <c r="AE70" s="29">
        <f t="shared" si="38"/>
        <v>11822308.743045462</v>
      </c>
    </row>
    <row r="71" spans="1:31" x14ac:dyDescent="0.2">
      <c r="A71" s="9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9"/>
    </row>
    <row r="72" spans="1:31" x14ac:dyDescent="0.2">
      <c r="A72" s="97">
        <v>0.05</v>
      </c>
      <c r="B72" s="25">
        <f>+B66</f>
        <v>890390.04</v>
      </c>
      <c r="C72" s="25">
        <f>(+B72/(1+$A$12))</f>
        <v>847990.51428571425</v>
      </c>
      <c r="D72" s="25">
        <f t="shared" ref="D72:AE72" si="39">(+C72/(1+$A$12))</f>
        <v>807610.01360544213</v>
      </c>
      <c r="E72" s="25">
        <f t="shared" si="39"/>
        <v>769152.3939099448</v>
      </c>
      <c r="F72" s="25">
        <f t="shared" si="39"/>
        <v>732526.0894380426</v>
      </c>
      <c r="G72" s="25">
        <f t="shared" si="39"/>
        <v>697643.89470289764</v>
      </c>
      <c r="H72" s="25">
        <f t="shared" si="39"/>
        <v>664422.75685990253</v>
      </c>
      <c r="I72" s="25">
        <f t="shared" si="39"/>
        <v>632783.57796181191</v>
      </c>
      <c r="J72" s="25">
        <f t="shared" si="39"/>
        <v>602651.02663029707</v>
      </c>
      <c r="K72" s="25">
        <f t="shared" si="39"/>
        <v>573953.35869552102</v>
      </c>
      <c r="L72" s="25">
        <f t="shared" si="39"/>
        <v>546622.24637668661</v>
      </c>
      <c r="M72" s="25">
        <f t="shared" si="39"/>
        <v>520592.61559684435</v>
      </c>
      <c r="N72" s="25">
        <f t="shared" si="39"/>
        <v>495802.49104461365</v>
      </c>
      <c r="O72" s="25">
        <f t="shared" si="39"/>
        <v>472192.84861391777</v>
      </c>
      <c r="P72" s="25">
        <f t="shared" si="39"/>
        <v>449707.47487039788</v>
      </c>
      <c r="Q72" s="25">
        <f t="shared" si="39"/>
        <v>428292.83320990275</v>
      </c>
      <c r="R72" s="25">
        <f t="shared" si="39"/>
        <v>407897.93639038358</v>
      </c>
      <c r="S72" s="25">
        <f t="shared" si="39"/>
        <v>388474.22513369861</v>
      </c>
      <c r="T72" s="25">
        <f t="shared" si="39"/>
        <v>369975.45250828436</v>
      </c>
      <c r="U72" s="25">
        <f t="shared" si="39"/>
        <v>352357.57381741365</v>
      </c>
      <c r="V72" s="25">
        <f t="shared" si="39"/>
        <v>335578.64173087012</v>
      </c>
      <c r="W72" s="25">
        <f t="shared" si="39"/>
        <v>319598.70641035249</v>
      </c>
      <c r="X72" s="25">
        <f t="shared" si="39"/>
        <v>304379.72039081185</v>
      </c>
      <c r="Y72" s="25">
        <f t="shared" si="39"/>
        <v>289885.44799124938</v>
      </c>
      <c r="Z72" s="25">
        <f t="shared" si="39"/>
        <v>276081.37903928512</v>
      </c>
      <c r="AA72" s="25">
        <f t="shared" si="39"/>
        <v>262934.64670408104</v>
      </c>
      <c r="AB72" s="25">
        <f t="shared" si="39"/>
        <v>250413.94924198193</v>
      </c>
      <c r="AC72" s="25">
        <f t="shared" si="39"/>
        <v>238489.47546855421</v>
      </c>
      <c r="AD72" s="25">
        <f t="shared" si="39"/>
        <v>227132.83377957542</v>
      </c>
      <c r="AE72" s="29">
        <f t="shared" si="39"/>
        <v>216316.98455197658</v>
      </c>
    </row>
    <row r="73" spans="1:31" x14ac:dyDescent="0.2">
      <c r="A73" s="97"/>
      <c r="B73" s="25">
        <f>+B72</f>
        <v>890390.04</v>
      </c>
      <c r="C73" s="25">
        <f t="shared" ref="C73:AE73" si="40">+C72+B73</f>
        <v>1738380.5542857144</v>
      </c>
      <c r="D73" s="25">
        <f t="shared" si="40"/>
        <v>2545990.5678911563</v>
      </c>
      <c r="E73" s="25">
        <f t="shared" si="40"/>
        <v>3315142.961801101</v>
      </c>
      <c r="F73" s="25">
        <f t="shared" si="40"/>
        <v>4047669.0512391436</v>
      </c>
      <c r="G73" s="25">
        <f t="shared" si="40"/>
        <v>4745312.9459420415</v>
      </c>
      <c r="H73" s="25">
        <f t="shared" si="40"/>
        <v>5409735.7028019438</v>
      </c>
      <c r="I73" s="25">
        <f t="shared" si="40"/>
        <v>6042519.2807637556</v>
      </c>
      <c r="J73" s="25">
        <f t="shared" si="40"/>
        <v>6645170.3073940529</v>
      </c>
      <c r="K73" s="25">
        <f t="shared" si="40"/>
        <v>7219123.6660895739</v>
      </c>
      <c r="L73" s="25">
        <f t="shared" si="40"/>
        <v>7765745.9124662606</v>
      </c>
      <c r="M73" s="25">
        <f t="shared" si="40"/>
        <v>8286338.5280631054</v>
      </c>
      <c r="N73" s="25">
        <f t="shared" si="40"/>
        <v>8782141.0191077199</v>
      </c>
      <c r="O73" s="25">
        <f t="shared" si="40"/>
        <v>9254333.8677216377</v>
      </c>
      <c r="P73" s="25">
        <f t="shared" si="40"/>
        <v>9704041.3425920364</v>
      </c>
      <c r="Q73" s="25">
        <f t="shared" si="40"/>
        <v>10132334.175801938</v>
      </c>
      <c r="R73" s="25">
        <f t="shared" si="40"/>
        <v>10540232.112192322</v>
      </c>
      <c r="S73" s="25">
        <f t="shared" si="40"/>
        <v>10928706.33732602</v>
      </c>
      <c r="T73" s="25">
        <f t="shared" si="40"/>
        <v>11298681.789834304</v>
      </c>
      <c r="U73" s="25">
        <f t="shared" si="40"/>
        <v>11651039.363651717</v>
      </c>
      <c r="V73" s="25">
        <f t="shared" si="40"/>
        <v>11986618.005382586</v>
      </c>
      <c r="W73" s="25">
        <f t="shared" si="40"/>
        <v>12306216.711792938</v>
      </c>
      <c r="X73" s="25">
        <f t="shared" si="40"/>
        <v>12610596.43218375</v>
      </c>
      <c r="Y73" s="25">
        <f t="shared" si="40"/>
        <v>12900481.880175</v>
      </c>
      <c r="Z73" s="25">
        <f t="shared" si="40"/>
        <v>13176563.259214286</v>
      </c>
      <c r="AA73" s="25">
        <f t="shared" si="40"/>
        <v>13439497.905918367</v>
      </c>
      <c r="AB73" s="25">
        <f t="shared" si="40"/>
        <v>13689911.85516035</v>
      </c>
      <c r="AC73" s="25">
        <f t="shared" si="40"/>
        <v>13928401.330628904</v>
      </c>
      <c r="AD73" s="25">
        <f t="shared" si="40"/>
        <v>14155534.164408479</v>
      </c>
      <c r="AE73" s="29">
        <f t="shared" si="40"/>
        <v>14371851.148960456</v>
      </c>
    </row>
    <row r="74" spans="1:31" x14ac:dyDescent="0.2">
      <c r="A74" s="9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9"/>
    </row>
    <row r="75" spans="1:31" x14ac:dyDescent="0.2">
      <c r="A75" s="97">
        <v>0.03</v>
      </c>
      <c r="B75" s="25">
        <f>+B66</f>
        <v>890390.04</v>
      </c>
      <c r="C75" s="25">
        <f>(+B75/(1+$A$15))</f>
        <v>864456.3495145631</v>
      </c>
      <c r="D75" s="25">
        <f t="shared" ref="D75:AE75" si="41">(+C75/(1+$A$15))</f>
        <v>839278.00923743984</v>
      </c>
      <c r="E75" s="25">
        <f t="shared" si="41"/>
        <v>814833.01867712603</v>
      </c>
      <c r="F75" s="25">
        <f t="shared" si="41"/>
        <v>791100.01813313202</v>
      </c>
      <c r="G75" s="25">
        <f t="shared" si="41"/>
        <v>768058.27003216697</v>
      </c>
      <c r="H75" s="25">
        <f t="shared" si="41"/>
        <v>745687.6408079291</v>
      </c>
      <c r="I75" s="25">
        <f t="shared" si="41"/>
        <v>723968.58330866904</v>
      </c>
      <c r="J75" s="25">
        <f t="shared" si="41"/>
        <v>702882.11971715442</v>
      </c>
      <c r="K75" s="25">
        <f t="shared" si="41"/>
        <v>682409.82496811112</v>
      </c>
      <c r="L75" s="25">
        <f t="shared" si="41"/>
        <v>662533.81064865156</v>
      </c>
      <c r="M75" s="25">
        <f t="shared" si="41"/>
        <v>643236.70936762285</v>
      </c>
      <c r="N75" s="25">
        <f t="shared" si="41"/>
        <v>624501.65958021639</v>
      </c>
      <c r="O75" s="25">
        <f t="shared" si="41"/>
        <v>606312.29085457895</v>
      </c>
      <c r="P75" s="25">
        <f t="shared" si="41"/>
        <v>588652.70956755232</v>
      </c>
      <c r="Q75" s="25">
        <f t="shared" si="41"/>
        <v>571507.48501704109</v>
      </c>
      <c r="R75" s="25">
        <f t="shared" si="41"/>
        <v>554861.6359388748</v>
      </c>
      <c r="S75" s="25">
        <f t="shared" si="41"/>
        <v>538700.61741638323</v>
      </c>
      <c r="T75" s="25">
        <f t="shared" si="41"/>
        <v>523010.30817124585</v>
      </c>
      <c r="U75" s="25">
        <f t="shared" si="41"/>
        <v>507776.99822451052</v>
      </c>
      <c r="V75" s="25">
        <f t="shared" si="41"/>
        <v>492987.37691700051</v>
      </c>
      <c r="W75" s="25">
        <f t="shared" si="41"/>
        <v>478628.52127864124</v>
      </c>
      <c r="X75" s="25">
        <f t="shared" si="41"/>
        <v>464687.88473654486</v>
      </c>
      <c r="Y75" s="25">
        <f t="shared" si="41"/>
        <v>451153.28615198529</v>
      </c>
      <c r="Z75" s="25">
        <f t="shared" si="41"/>
        <v>438012.89917668473</v>
      </c>
      <c r="AA75" s="25">
        <f t="shared" si="41"/>
        <v>425255.2419191114</v>
      </c>
      <c r="AB75" s="25">
        <f t="shared" si="41"/>
        <v>412869.16691175866</v>
      </c>
      <c r="AC75" s="25">
        <f t="shared" si="41"/>
        <v>400843.85137063946</v>
      </c>
      <c r="AD75" s="25">
        <f t="shared" si="41"/>
        <v>389168.78773848491</v>
      </c>
      <c r="AE75" s="29">
        <f t="shared" si="41"/>
        <v>377833.77450338338</v>
      </c>
    </row>
    <row r="76" spans="1:31" x14ac:dyDescent="0.2">
      <c r="A76" s="9"/>
      <c r="B76" s="25">
        <f>+B75</f>
        <v>890390.04</v>
      </c>
      <c r="C76" s="25">
        <f t="shared" ref="C76:AE76" si="42">+C75+B76</f>
        <v>1754846.3895145631</v>
      </c>
      <c r="D76" s="25">
        <f t="shared" si="42"/>
        <v>2594124.398752003</v>
      </c>
      <c r="E76" s="25">
        <f t="shared" si="42"/>
        <v>3408957.4174291291</v>
      </c>
      <c r="F76" s="25">
        <f t="shared" si="42"/>
        <v>4200057.4355622614</v>
      </c>
      <c r="G76" s="25">
        <f t="shared" si="42"/>
        <v>4968115.7055944279</v>
      </c>
      <c r="H76" s="25">
        <f t="shared" si="42"/>
        <v>5713803.3464023573</v>
      </c>
      <c r="I76" s="25">
        <f t="shared" si="42"/>
        <v>6437771.9297110261</v>
      </c>
      <c r="J76" s="25">
        <f t="shared" si="42"/>
        <v>7140654.0494281808</v>
      </c>
      <c r="K76" s="25">
        <f t="shared" si="42"/>
        <v>7823063.8743962916</v>
      </c>
      <c r="L76" s="25">
        <f t="shared" si="42"/>
        <v>8485597.6850449424</v>
      </c>
      <c r="M76" s="25">
        <f t="shared" si="42"/>
        <v>9128834.394412566</v>
      </c>
      <c r="N76" s="25">
        <f t="shared" si="42"/>
        <v>9753336.0539927818</v>
      </c>
      <c r="O76" s="25">
        <f t="shared" si="42"/>
        <v>10359648.344847361</v>
      </c>
      <c r="P76" s="25">
        <f t="shared" si="42"/>
        <v>10948301.054414913</v>
      </c>
      <c r="Q76" s="25">
        <f t="shared" si="42"/>
        <v>11519808.539431954</v>
      </c>
      <c r="R76" s="25">
        <f t="shared" si="42"/>
        <v>12074670.175370829</v>
      </c>
      <c r="S76" s="25">
        <f t="shared" si="42"/>
        <v>12613370.792787213</v>
      </c>
      <c r="T76" s="25">
        <f t="shared" si="42"/>
        <v>13136381.100958459</v>
      </c>
      <c r="U76" s="25">
        <f t="shared" si="42"/>
        <v>13644158.099182969</v>
      </c>
      <c r="V76" s="25">
        <f t="shared" si="42"/>
        <v>14137145.47609997</v>
      </c>
      <c r="W76" s="25">
        <f t="shared" si="42"/>
        <v>14615773.997378612</v>
      </c>
      <c r="X76" s="25">
        <f t="shared" si="42"/>
        <v>15080461.882115157</v>
      </c>
      <c r="Y76" s="25">
        <f t="shared" si="42"/>
        <v>15531615.168267142</v>
      </c>
      <c r="Z76" s="25">
        <f t="shared" si="42"/>
        <v>15969628.067443827</v>
      </c>
      <c r="AA76" s="25">
        <f t="shared" si="42"/>
        <v>16394883.309362939</v>
      </c>
      <c r="AB76" s="25">
        <f t="shared" si="42"/>
        <v>16807752.476274699</v>
      </c>
      <c r="AC76" s="25">
        <f t="shared" si="42"/>
        <v>17208596.327645339</v>
      </c>
      <c r="AD76" s="25">
        <f t="shared" si="42"/>
        <v>17597765.115383822</v>
      </c>
      <c r="AE76" s="29">
        <f t="shared" si="42"/>
        <v>17975598.889887206</v>
      </c>
    </row>
    <row r="77" spans="1:31" x14ac:dyDescent="0.2">
      <c r="A77" s="9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96"/>
    </row>
    <row r="78" spans="1:31" x14ac:dyDescent="0.2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96"/>
    </row>
    <row r="79" spans="1:31" ht="15.75" x14ac:dyDescent="0.25">
      <c r="A79" s="110"/>
      <c r="B79" s="102" t="s">
        <v>81</v>
      </c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11"/>
    </row>
    <row r="80" spans="1:31" s="46" customFormat="1" ht="15.75" x14ac:dyDescent="0.25">
      <c r="A80" s="19" t="s">
        <v>28</v>
      </c>
      <c r="B80" s="104" t="str">
        <f t="shared" ref="B80:AE80" si="43">+B5</f>
        <v>Year 1</v>
      </c>
      <c r="C80" s="104" t="str">
        <f t="shared" si="43"/>
        <v>Year 2</v>
      </c>
      <c r="D80" s="104" t="str">
        <f t="shared" si="43"/>
        <v>Year 3</v>
      </c>
      <c r="E80" s="104" t="str">
        <f t="shared" si="43"/>
        <v>Year 4</v>
      </c>
      <c r="F80" s="104" t="str">
        <f t="shared" si="43"/>
        <v>Year 5</v>
      </c>
      <c r="G80" s="104" t="str">
        <f t="shared" si="43"/>
        <v>Year 6</v>
      </c>
      <c r="H80" s="104" t="str">
        <f t="shared" si="43"/>
        <v>Year 7</v>
      </c>
      <c r="I80" s="104" t="str">
        <f t="shared" si="43"/>
        <v>Year 8</v>
      </c>
      <c r="J80" s="104" t="str">
        <f t="shared" si="43"/>
        <v>Year 9</v>
      </c>
      <c r="K80" s="104" t="str">
        <f t="shared" si="43"/>
        <v>Year 10</v>
      </c>
      <c r="L80" s="104" t="str">
        <f t="shared" si="43"/>
        <v>Year 11</v>
      </c>
      <c r="M80" s="104" t="str">
        <f t="shared" si="43"/>
        <v>Year 12</v>
      </c>
      <c r="N80" s="104" t="str">
        <f t="shared" si="43"/>
        <v>Year 13</v>
      </c>
      <c r="O80" s="104" t="str">
        <f t="shared" si="43"/>
        <v>Year 14</v>
      </c>
      <c r="P80" s="104" t="str">
        <f t="shared" si="43"/>
        <v>Year 15</v>
      </c>
      <c r="Q80" s="104" t="str">
        <f t="shared" si="43"/>
        <v>Year 16</v>
      </c>
      <c r="R80" s="104" t="str">
        <f t="shared" si="43"/>
        <v>Year 17</v>
      </c>
      <c r="S80" s="104" t="str">
        <f t="shared" si="43"/>
        <v>Year 18</v>
      </c>
      <c r="T80" s="104" t="str">
        <f t="shared" si="43"/>
        <v>Year 19</v>
      </c>
      <c r="U80" s="104" t="str">
        <f t="shared" si="43"/>
        <v>Year 20</v>
      </c>
      <c r="V80" s="104" t="str">
        <f t="shared" si="43"/>
        <v>Year 21</v>
      </c>
      <c r="W80" s="104" t="str">
        <f t="shared" si="43"/>
        <v>Year 22</v>
      </c>
      <c r="X80" s="104" t="str">
        <f t="shared" si="43"/>
        <v>Year 23</v>
      </c>
      <c r="Y80" s="104" t="str">
        <f t="shared" si="43"/>
        <v>Year 24</v>
      </c>
      <c r="Z80" s="104" t="str">
        <f t="shared" si="43"/>
        <v>Year 25</v>
      </c>
      <c r="AA80" s="104" t="str">
        <f t="shared" si="43"/>
        <v>Year 26</v>
      </c>
      <c r="AB80" s="104" t="str">
        <f t="shared" si="43"/>
        <v>Year 27</v>
      </c>
      <c r="AC80" s="104" t="str">
        <f t="shared" si="43"/>
        <v>Year 28</v>
      </c>
      <c r="AD80" s="104" t="str">
        <f t="shared" si="43"/>
        <v>Year 29</v>
      </c>
      <c r="AE80" s="105" t="str">
        <f t="shared" si="43"/>
        <v>Year 30</v>
      </c>
    </row>
    <row r="81" spans="1:33" x14ac:dyDescent="0.2">
      <c r="A81" s="97">
        <v>0.1</v>
      </c>
      <c r="B81" s="200">
        <f>+'Entry Required'!B18*12</f>
        <v>1305972</v>
      </c>
      <c r="C81" s="25">
        <f>(+B81/(1+$A$6))</f>
        <v>1187247.2727272727</v>
      </c>
      <c r="D81" s="25">
        <f>(+C81/(1+$A$6))</f>
        <v>1079315.7024793387</v>
      </c>
      <c r="E81" s="25">
        <f t="shared" ref="E81:AE81" si="44">(+D81/(1+$A$6))</f>
        <v>981196.09316303511</v>
      </c>
      <c r="F81" s="25">
        <f t="shared" si="44"/>
        <v>891996.44833003182</v>
      </c>
      <c r="G81" s="25">
        <f t="shared" si="44"/>
        <v>810905.86211821064</v>
      </c>
      <c r="H81" s="25">
        <f t="shared" si="44"/>
        <v>737187.14738019148</v>
      </c>
      <c r="I81" s="25">
        <f t="shared" si="44"/>
        <v>670170.13398199226</v>
      </c>
      <c r="J81" s="25">
        <f t="shared" si="44"/>
        <v>609245.57634726563</v>
      </c>
      <c r="K81" s="25">
        <f t="shared" si="44"/>
        <v>553859.61486115051</v>
      </c>
      <c r="L81" s="25">
        <f t="shared" si="44"/>
        <v>503508.74078286404</v>
      </c>
      <c r="M81" s="25">
        <f t="shared" si="44"/>
        <v>457735.21889351273</v>
      </c>
      <c r="N81" s="25">
        <f t="shared" si="44"/>
        <v>416122.92626682972</v>
      </c>
      <c r="O81" s="25">
        <f t="shared" si="44"/>
        <v>378293.56933348154</v>
      </c>
      <c r="P81" s="25">
        <f t="shared" si="44"/>
        <v>343903.24484861956</v>
      </c>
      <c r="Q81" s="25">
        <f t="shared" si="44"/>
        <v>312639.31349874503</v>
      </c>
      <c r="R81" s="25">
        <f t="shared" si="44"/>
        <v>284217.55772613181</v>
      </c>
      <c r="S81" s="25">
        <f t="shared" si="44"/>
        <v>258379.59793284707</v>
      </c>
      <c r="T81" s="25">
        <f t="shared" si="44"/>
        <v>234890.5435753155</v>
      </c>
      <c r="U81" s="25">
        <f t="shared" si="44"/>
        <v>213536.85779574135</v>
      </c>
      <c r="V81" s="25">
        <f t="shared" si="44"/>
        <v>194124.41617794667</v>
      </c>
      <c r="W81" s="25">
        <f t="shared" si="44"/>
        <v>176476.7419799515</v>
      </c>
      <c r="X81" s="25">
        <f t="shared" si="44"/>
        <v>160433.4017999559</v>
      </c>
      <c r="Y81" s="25">
        <f t="shared" si="44"/>
        <v>145848.54709086899</v>
      </c>
      <c r="Z81" s="25">
        <f t="shared" si="44"/>
        <v>132589.58826442633</v>
      </c>
      <c r="AA81" s="25">
        <f t="shared" si="44"/>
        <v>120535.98933129666</v>
      </c>
      <c r="AB81" s="25">
        <f t="shared" si="44"/>
        <v>109578.17211936059</v>
      </c>
      <c r="AC81" s="25">
        <f t="shared" si="44"/>
        <v>99616.52010850962</v>
      </c>
      <c r="AD81" s="25">
        <f t="shared" si="44"/>
        <v>90560.472825917823</v>
      </c>
      <c r="AE81" s="29">
        <f t="shared" si="44"/>
        <v>82327.702569016197</v>
      </c>
    </row>
    <row r="82" spans="1:33" x14ac:dyDescent="0.2">
      <c r="A82" s="97"/>
      <c r="B82" s="25">
        <f>+B81</f>
        <v>1305972</v>
      </c>
      <c r="C82" s="25">
        <f t="shared" ref="C82:AE82" si="45">+C81+B82</f>
        <v>2493219.2727272725</v>
      </c>
      <c r="D82" s="25">
        <f t="shared" si="45"/>
        <v>3572534.9752066112</v>
      </c>
      <c r="E82" s="25">
        <f t="shared" si="45"/>
        <v>4553731.0683696466</v>
      </c>
      <c r="F82" s="25">
        <f t="shared" si="45"/>
        <v>5445727.5166996783</v>
      </c>
      <c r="G82" s="25">
        <f t="shared" si="45"/>
        <v>6256633.3788178889</v>
      </c>
      <c r="H82" s="25">
        <f t="shared" si="45"/>
        <v>6993820.5261980807</v>
      </c>
      <c r="I82" s="25">
        <f t="shared" si="45"/>
        <v>7663990.6601800732</v>
      </c>
      <c r="J82" s="25">
        <f t="shared" si="45"/>
        <v>8273236.2365273386</v>
      </c>
      <c r="K82" s="25">
        <f t="shared" si="45"/>
        <v>8827095.8513884898</v>
      </c>
      <c r="L82" s="25">
        <f t="shared" si="45"/>
        <v>9330604.5921713542</v>
      </c>
      <c r="M82" s="25">
        <f t="shared" si="45"/>
        <v>9788339.8110648673</v>
      </c>
      <c r="N82" s="25">
        <f t="shared" si="45"/>
        <v>10204462.737331698</v>
      </c>
      <c r="O82" s="25">
        <f t="shared" si="45"/>
        <v>10582756.306665178</v>
      </c>
      <c r="P82" s="25">
        <f t="shared" si="45"/>
        <v>10926659.551513799</v>
      </c>
      <c r="Q82" s="25">
        <f t="shared" si="45"/>
        <v>11239298.865012543</v>
      </c>
      <c r="R82" s="25">
        <f t="shared" si="45"/>
        <v>11523516.422738675</v>
      </c>
      <c r="S82" s="25">
        <f t="shared" si="45"/>
        <v>11781896.020671522</v>
      </c>
      <c r="T82" s="25">
        <f t="shared" si="45"/>
        <v>12016786.564246837</v>
      </c>
      <c r="U82" s="25">
        <f t="shared" si="45"/>
        <v>12230323.422042578</v>
      </c>
      <c r="V82" s="25">
        <f t="shared" si="45"/>
        <v>12424447.838220526</v>
      </c>
      <c r="W82" s="25">
        <f t="shared" si="45"/>
        <v>12600924.580200477</v>
      </c>
      <c r="X82" s="25">
        <f t="shared" si="45"/>
        <v>12761357.982000433</v>
      </c>
      <c r="Y82" s="25">
        <f t="shared" si="45"/>
        <v>12907206.529091302</v>
      </c>
      <c r="Z82" s="25">
        <f t="shared" si="45"/>
        <v>13039796.117355729</v>
      </c>
      <c r="AA82" s="25">
        <f t="shared" si="45"/>
        <v>13160332.106687026</v>
      </c>
      <c r="AB82" s="25">
        <f t="shared" si="45"/>
        <v>13269910.278806387</v>
      </c>
      <c r="AC82" s="25">
        <f t="shared" si="45"/>
        <v>13369526.798914896</v>
      </c>
      <c r="AD82" s="25">
        <f t="shared" si="45"/>
        <v>13460087.271740815</v>
      </c>
      <c r="AE82" s="29">
        <f t="shared" si="45"/>
        <v>13542414.97430983</v>
      </c>
    </row>
    <row r="83" spans="1:33" x14ac:dyDescent="0.2">
      <c r="A83" s="97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9"/>
    </row>
    <row r="84" spans="1:33" x14ac:dyDescent="0.2">
      <c r="A84" s="97">
        <v>7.0000000000000007E-2</v>
      </c>
      <c r="B84" s="25">
        <f>+B81</f>
        <v>1305972</v>
      </c>
      <c r="C84" s="25">
        <f>(+B84/(1+$A$9))</f>
        <v>1220534.5794392521</v>
      </c>
      <c r="D84" s="25">
        <f t="shared" ref="D84:AE84" si="46">(+C84/(1+$A$9))</f>
        <v>1140686.5228404226</v>
      </c>
      <c r="E84" s="25">
        <f t="shared" si="46"/>
        <v>1066062.1708788995</v>
      </c>
      <c r="F84" s="25">
        <f t="shared" si="46"/>
        <v>996319.78586813028</v>
      </c>
      <c r="G84" s="25">
        <f t="shared" si="46"/>
        <v>931139.98679264507</v>
      </c>
      <c r="H84" s="25">
        <f t="shared" si="46"/>
        <v>870224.28672209813</v>
      </c>
      <c r="I84" s="25">
        <f t="shared" si="46"/>
        <v>813293.72590850282</v>
      </c>
      <c r="J84" s="25">
        <f t="shared" si="46"/>
        <v>760087.59430701192</v>
      </c>
      <c r="K84" s="25">
        <f t="shared" si="46"/>
        <v>710362.2376701046</v>
      </c>
      <c r="L84" s="25">
        <f t="shared" si="46"/>
        <v>663889.94174776122</v>
      </c>
      <c r="M84" s="25">
        <f t="shared" si="46"/>
        <v>620457.88948388898</v>
      </c>
      <c r="N84" s="25">
        <f t="shared" si="46"/>
        <v>579867.18643354112</v>
      </c>
      <c r="O84" s="25">
        <f t="shared" si="46"/>
        <v>541931.94993788889</v>
      </c>
      <c r="P84" s="25">
        <f t="shared" si="46"/>
        <v>506478.45788587746</v>
      </c>
      <c r="Q84" s="25">
        <f t="shared" si="46"/>
        <v>473344.35316437145</v>
      </c>
      <c r="R84" s="25">
        <f t="shared" si="46"/>
        <v>442377.90015361813</v>
      </c>
      <c r="S84" s="25">
        <f t="shared" si="46"/>
        <v>413437.28986319451</v>
      </c>
      <c r="T84" s="25">
        <f t="shared" si="46"/>
        <v>386389.99052634998</v>
      </c>
      <c r="U84" s="25">
        <f t="shared" si="46"/>
        <v>361112.14067883173</v>
      </c>
      <c r="V84" s="25">
        <f t="shared" si="46"/>
        <v>337487.98194283334</v>
      </c>
      <c r="W84" s="25">
        <f t="shared" si="46"/>
        <v>315409.32891853584</v>
      </c>
      <c r="X84" s="25">
        <f t="shared" si="46"/>
        <v>294775.07375564094</v>
      </c>
      <c r="Y84" s="25">
        <f t="shared" si="46"/>
        <v>275490.72313611303</v>
      </c>
      <c r="Z84" s="25">
        <f t="shared" si="46"/>
        <v>257467.96554776916</v>
      </c>
      <c r="AA84" s="25">
        <f t="shared" si="46"/>
        <v>240624.26686707395</v>
      </c>
      <c r="AB84" s="25">
        <f t="shared" si="46"/>
        <v>224882.49239913453</v>
      </c>
      <c r="AC84" s="25">
        <f t="shared" si="46"/>
        <v>210170.55364405096</v>
      </c>
      <c r="AD84" s="25">
        <f t="shared" si="46"/>
        <v>196421.07817201022</v>
      </c>
      <c r="AE84" s="29">
        <f t="shared" si="46"/>
        <v>183571.10109533663</v>
      </c>
    </row>
    <row r="85" spans="1:33" x14ac:dyDescent="0.2">
      <c r="A85" s="97"/>
      <c r="B85" s="25">
        <f>+B84</f>
        <v>1305972</v>
      </c>
      <c r="C85" s="25">
        <f t="shared" ref="C85:AE85" si="47">+C84+B85</f>
        <v>2526506.5794392521</v>
      </c>
      <c r="D85" s="25">
        <f t="shared" si="47"/>
        <v>3667193.1022796747</v>
      </c>
      <c r="E85" s="25">
        <f t="shared" si="47"/>
        <v>4733255.2731585745</v>
      </c>
      <c r="F85" s="25">
        <f t="shared" si="47"/>
        <v>5729575.0590267051</v>
      </c>
      <c r="G85" s="25">
        <f t="shared" si="47"/>
        <v>6660715.0458193505</v>
      </c>
      <c r="H85" s="25">
        <f t="shared" si="47"/>
        <v>7530939.332541449</v>
      </c>
      <c r="I85" s="25">
        <f t="shared" si="47"/>
        <v>8344233.0584499519</v>
      </c>
      <c r="J85" s="25">
        <f t="shared" si="47"/>
        <v>9104320.6527569629</v>
      </c>
      <c r="K85" s="25">
        <f t="shared" si="47"/>
        <v>9814682.8904270679</v>
      </c>
      <c r="L85" s="25">
        <f t="shared" si="47"/>
        <v>10478572.832174828</v>
      </c>
      <c r="M85" s="25">
        <f t="shared" si="47"/>
        <v>11099030.721658718</v>
      </c>
      <c r="N85" s="25">
        <f t="shared" si="47"/>
        <v>11678897.908092258</v>
      </c>
      <c r="O85" s="25">
        <f t="shared" si="47"/>
        <v>12220829.858030148</v>
      </c>
      <c r="P85" s="25">
        <f t="shared" si="47"/>
        <v>12727308.315916026</v>
      </c>
      <c r="Q85" s="25">
        <f t="shared" si="47"/>
        <v>13200652.669080397</v>
      </c>
      <c r="R85" s="25">
        <f t="shared" si="47"/>
        <v>13643030.569234015</v>
      </c>
      <c r="S85" s="25">
        <f t="shared" si="47"/>
        <v>14056467.859097211</v>
      </c>
      <c r="T85" s="25">
        <f t="shared" si="47"/>
        <v>14442857.849623561</v>
      </c>
      <c r="U85" s="25">
        <f t="shared" si="47"/>
        <v>14803969.990302393</v>
      </c>
      <c r="V85" s="25">
        <f t="shared" si="47"/>
        <v>15141457.972245226</v>
      </c>
      <c r="W85" s="25">
        <f t="shared" si="47"/>
        <v>15456867.301163761</v>
      </c>
      <c r="X85" s="25">
        <f t="shared" si="47"/>
        <v>15751642.374919401</v>
      </c>
      <c r="Y85" s="25">
        <f t="shared" si="47"/>
        <v>16027133.098055515</v>
      </c>
      <c r="Z85" s="25">
        <f t="shared" si="47"/>
        <v>16284601.063603284</v>
      </c>
      <c r="AA85" s="25">
        <f t="shared" si="47"/>
        <v>16525225.330470357</v>
      </c>
      <c r="AB85" s="25">
        <f t="shared" si="47"/>
        <v>16750107.822869491</v>
      </c>
      <c r="AC85" s="25">
        <f t="shared" si="47"/>
        <v>16960278.376513541</v>
      </c>
      <c r="AD85" s="25">
        <f t="shared" si="47"/>
        <v>17156699.45468555</v>
      </c>
      <c r="AE85" s="29">
        <f t="shared" si="47"/>
        <v>17340270.555780888</v>
      </c>
    </row>
    <row r="86" spans="1:33" x14ac:dyDescent="0.2">
      <c r="A86" s="97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9"/>
    </row>
    <row r="87" spans="1:33" x14ac:dyDescent="0.2">
      <c r="A87" s="97">
        <v>0.05</v>
      </c>
      <c r="B87" s="25">
        <f>+B81</f>
        <v>1305972</v>
      </c>
      <c r="C87" s="25">
        <f>(+B87/(1+$A$12))</f>
        <v>1243782.857142857</v>
      </c>
      <c r="D87" s="25">
        <f t="shared" ref="D87:AE87" si="48">(+C87/(1+$A$12))</f>
        <v>1184555.1020408161</v>
      </c>
      <c r="E87" s="25">
        <f t="shared" si="48"/>
        <v>1128147.7162293487</v>
      </c>
      <c r="F87" s="25">
        <f t="shared" si="48"/>
        <v>1074426.3964089034</v>
      </c>
      <c r="G87" s="25">
        <f t="shared" si="48"/>
        <v>1023263.2346751461</v>
      </c>
      <c r="H87" s="25">
        <f t="shared" si="48"/>
        <v>974536.4139763295</v>
      </c>
      <c r="I87" s="25">
        <f t="shared" si="48"/>
        <v>928129.91807269468</v>
      </c>
      <c r="J87" s="25">
        <f t="shared" si="48"/>
        <v>883933.25530732819</v>
      </c>
      <c r="K87" s="25">
        <f t="shared" si="48"/>
        <v>841841.19553078874</v>
      </c>
      <c r="L87" s="25">
        <f t="shared" si="48"/>
        <v>801753.51955313212</v>
      </c>
      <c r="M87" s="25">
        <f t="shared" si="48"/>
        <v>763574.78052679251</v>
      </c>
      <c r="N87" s="25">
        <f t="shared" si="48"/>
        <v>727214.07669218327</v>
      </c>
      <c r="O87" s="25">
        <f t="shared" si="48"/>
        <v>692584.83494493645</v>
      </c>
      <c r="P87" s="25">
        <f t="shared" si="48"/>
        <v>659604.60470946331</v>
      </c>
      <c r="Q87" s="25">
        <f t="shared" si="48"/>
        <v>628194.86162806023</v>
      </c>
      <c r="R87" s="25">
        <f t="shared" si="48"/>
        <v>598280.82059815258</v>
      </c>
      <c r="S87" s="25">
        <f t="shared" si="48"/>
        <v>569791.25771252625</v>
      </c>
      <c r="T87" s="25">
        <f t="shared" si="48"/>
        <v>542658.3406785964</v>
      </c>
      <c r="U87" s="25">
        <f t="shared" si="48"/>
        <v>516817.46731294895</v>
      </c>
      <c r="V87" s="25">
        <f t="shared" si="48"/>
        <v>492207.11172661802</v>
      </c>
      <c r="W87" s="25">
        <f t="shared" si="48"/>
        <v>468768.67783487431</v>
      </c>
      <c r="X87" s="25">
        <f t="shared" si="48"/>
        <v>446446.35984273744</v>
      </c>
      <c r="Y87" s="25">
        <f t="shared" si="48"/>
        <v>425187.00937403564</v>
      </c>
      <c r="Z87" s="25">
        <f t="shared" si="48"/>
        <v>404940.00892765296</v>
      </c>
      <c r="AA87" s="25">
        <f t="shared" si="48"/>
        <v>385657.15135966946</v>
      </c>
      <c r="AB87" s="25">
        <f t="shared" si="48"/>
        <v>367292.52510444709</v>
      </c>
      <c r="AC87" s="25">
        <f t="shared" si="48"/>
        <v>349802.40486137819</v>
      </c>
      <c r="AD87" s="25">
        <f t="shared" si="48"/>
        <v>333145.14748702681</v>
      </c>
      <c r="AE87" s="29">
        <f t="shared" si="48"/>
        <v>317281.0928447874</v>
      </c>
    </row>
    <row r="88" spans="1:33" x14ac:dyDescent="0.2">
      <c r="A88" s="97"/>
      <c r="B88" s="25">
        <f>+B87</f>
        <v>1305972</v>
      </c>
      <c r="C88" s="25">
        <f t="shared" ref="C88:AE88" si="49">+C87+B88</f>
        <v>2549754.8571428573</v>
      </c>
      <c r="D88" s="25">
        <f t="shared" si="49"/>
        <v>3734309.9591836734</v>
      </c>
      <c r="E88" s="25">
        <f t="shared" si="49"/>
        <v>4862457.6754130218</v>
      </c>
      <c r="F88" s="25">
        <f t="shared" si="49"/>
        <v>5936884.0718219252</v>
      </c>
      <c r="G88" s="25">
        <f t="shared" si="49"/>
        <v>6960147.3064970709</v>
      </c>
      <c r="H88" s="25">
        <f t="shared" si="49"/>
        <v>7934683.7204734003</v>
      </c>
      <c r="I88" s="25">
        <f t="shared" si="49"/>
        <v>8862813.6385460943</v>
      </c>
      <c r="J88" s="25">
        <f t="shared" si="49"/>
        <v>9746746.8938534223</v>
      </c>
      <c r="K88" s="25">
        <f t="shared" si="49"/>
        <v>10588588.089384211</v>
      </c>
      <c r="L88" s="25">
        <f t="shared" si="49"/>
        <v>11390341.608937344</v>
      </c>
      <c r="M88" s="25">
        <f t="shared" si="49"/>
        <v>12153916.389464136</v>
      </c>
      <c r="N88" s="25">
        <f t="shared" si="49"/>
        <v>12881130.466156319</v>
      </c>
      <c r="O88" s="25">
        <f t="shared" si="49"/>
        <v>13573715.301101256</v>
      </c>
      <c r="P88" s="25">
        <f t="shared" si="49"/>
        <v>14233319.905810719</v>
      </c>
      <c r="Q88" s="25">
        <f t="shared" si="49"/>
        <v>14861514.767438781</v>
      </c>
      <c r="R88" s="25">
        <f t="shared" si="49"/>
        <v>15459795.588036934</v>
      </c>
      <c r="S88" s="25">
        <f t="shared" si="49"/>
        <v>16029586.84574946</v>
      </c>
      <c r="T88" s="25">
        <f t="shared" si="49"/>
        <v>16572245.186428057</v>
      </c>
      <c r="U88" s="25">
        <f t="shared" si="49"/>
        <v>17089062.653741006</v>
      </c>
      <c r="V88" s="25">
        <f t="shared" si="49"/>
        <v>17581269.765467625</v>
      </c>
      <c r="W88" s="25">
        <f t="shared" si="49"/>
        <v>18050038.443302501</v>
      </c>
      <c r="X88" s="25">
        <f t="shared" si="49"/>
        <v>18496484.803145237</v>
      </c>
      <c r="Y88" s="25">
        <f t="shared" si="49"/>
        <v>18921671.812519275</v>
      </c>
      <c r="Z88" s="25">
        <f t="shared" si="49"/>
        <v>19326611.821446929</v>
      </c>
      <c r="AA88" s="25">
        <f t="shared" si="49"/>
        <v>19712268.972806599</v>
      </c>
      <c r="AB88" s="25">
        <f t="shared" si="49"/>
        <v>20079561.497911047</v>
      </c>
      <c r="AC88" s="25">
        <f t="shared" si="49"/>
        <v>20429363.902772427</v>
      </c>
      <c r="AD88" s="25">
        <f t="shared" si="49"/>
        <v>20762509.050259452</v>
      </c>
      <c r="AE88" s="29">
        <f t="shared" si="49"/>
        <v>21079790.14310424</v>
      </c>
    </row>
    <row r="89" spans="1:33" x14ac:dyDescent="0.2">
      <c r="A89" s="97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9"/>
    </row>
    <row r="90" spans="1:33" x14ac:dyDescent="0.2">
      <c r="A90" s="97">
        <v>0.03</v>
      </c>
      <c r="B90" s="25">
        <f>+B81</f>
        <v>1305972</v>
      </c>
      <c r="C90" s="25">
        <f>(+B90/(1+$A$15))</f>
        <v>1267933.9805825243</v>
      </c>
      <c r="D90" s="25">
        <f t="shared" ref="D90:AE90" si="50">(+C90/(1+$A$15))</f>
        <v>1231003.8646432275</v>
      </c>
      <c r="E90" s="25">
        <f t="shared" si="50"/>
        <v>1195149.3831487645</v>
      </c>
      <c r="F90" s="25">
        <f t="shared" si="50"/>
        <v>1160339.206940548</v>
      </c>
      <c r="G90" s="25">
        <f t="shared" si="50"/>
        <v>1126542.9193597552</v>
      </c>
      <c r="H90" s="25">
        <f t="shared" si="50"/>
        <v>1093730.9896696652</v>
      </c>
      <c r="I90" s="25">
        <f t="shared" si="50"/>
        <v>1061874.7472521022</v>
      </c>
      <c r="J90" s="25">
        <f t="shared" si="50"/>
        <v>1030946.3565554391</v>
      </c>
      <c r="K90" s="25">
        <f t="shared" si="50"/>
        <v>1000918.7927722709</v>
      </c>
      <c r="L90" s="25">
        <f t="shared" si="50"/>
        <v>971765.81822550565</v>
      </c>
      <c r="M90" s="25">
        <f t="shared" si="50"/>
        <v>943461.95944223844</v>
      </c>
      <c r="N90" s="25">
        <f t="shared" si="50"/>
        <v>915982.48489537707</v>
      </c>
      <c r="O90" s="25">
        <f t="shared" si="50"/>
        <v>889303.38339356997</v>
      </c>
      <c r="P90" s="25">
        <f t="shared" si="50"/>
        <v>863401.34310055338</v>
      </c>
      <c r="Q90" s="25">
        <f t="shared" si="50"/>
        <v>838253.73116558581</v>
      </c>
      <c r="R90" s="25">
        <f t="shared" si="50"/>
        <v>813838.57394717063</v>
      </c>
      <c r="S90" s="25">
        <f t="shared" si="50"/>
        <v>790134.53781278699</v>
      </c>
      <c r="T90" s="25">
        <f t="shared" si="50"/>
        <v>767120.91049785144</v>
      </c>
      <c r="U90" s="25">
        <f t="shared" si="50"/>
        <v>744777.58300762274</v>
      </c>
      <c r="V90" s="25">
        <f t="shared" si="50"/>
        <v>723085.03204623563</v>
      </c>
      <c r="W90" s="25">
        <f t="shared" si="50"/>
        <v>702024.30295751034</v>
      </c>
      <c r="X90" s="25">
        <f t="shared" si="50"/>
        <v>681576.99316263141</v>
      </c>
      <c r="Y90" s="25">
        <f t="shared" si="50"/>
        <v>661725.23608022463</v>
      </c>
      <c r="Z90" s="25">
        <f t="shared" si="50"/>
        <v>642451.68551478116</v>
      </c>
      <c r="AA90" s="25">
        <f t="shared" si="50"/>
        <v>623739.50049978751</v>
      </c>
      <c r="AB90" s="25">
        <f t="shared" si="50"/>
        <v>605572.3305823179</v>
      </c>
      <c r="AC90" s="25">
        <f t="shared" si="50"/>
        <v>587934.30153623095</v>
      </c>
      <c r="AD90" s="25">
        <f t="shared" si="50"/>
        <v>570810.00149148633</v>
      </c>
      <c r="AE90" s="29">
        <f t="shared" si="50"/>
        <v>554184.46746746241</v>
      </c>
    </row>
    <row r="91" spans="1:33" x14ac:dyDescent="0.2">
      <c r="A91" s="9"/>
      <c r="B91" s="25">
        <f>+B90</f>
        <v>1305972</v>
      </c>
      <c r="C91" s="25">
        <f t="shared" ref="C91:AE91" si="51">+C90+B91</f>
        <v>2573905.9805825241</v>
      </c>
      <c r="D91" s="25">
        <f t="shared" si="51"/>
        <v>3804909.8452257514</v>
      </c>
      <c r="E91" s="25">
        <f t="shared" si="51"/>
        <v>5000059.2283745157</v>
      </c>
      <c r="F91" s="25">
        <f t="shared" si="51"/>
        <v>6160398.4353150632</v>
      </c>
      <c r="G91" s="25">
        <f t="shared" si="51"/>
        <v>7286941.354674818</v>
      </c>
      <c r="H91" s="25">
        <f t="shared" si="51"/>
        <v>8380672.3443444837</v>
      </c>
      <c r="I91" s="25">
        <f t="shared" si="51"/>
        <v>9442547.0915965866</v>
      </c>
      <c r="J91" s="25">
        <f t="shared" si="51"/>
        <v>10473493.448152026</v>
      </c>
      <c r="K91" s="25">
        <f t="shared" si="51"/>
        <v>11474412.240924297</v>
      </c>
      <c r="L91" s="25">
        <f t="shared" si="51"/>
        <v>12446178.059149802</v>
      </c>
      <c r="M91" s="25">
        <f t="shared" si="51"/>
        <v>13389640.018592041</v>
      </c>
      <c r="N91" s="25">
        <f t="shared" si="51"/>
        <v>14305622.503487417</v>
      </c>
      <c r="O91" s="25">
        <f t="shared" si="51"/>
        <v>15194925.886880988</v>
      </c>
      <c r="P91" s="25">
        <f t="shared" si="51"/>
        <v>16058327.229981542</v>
      </c>
      <c r="Q91" s="25">
        <f t="shared" si="51"/>
        <v>16896580.961147126</v>
      </c>
      <c r="R91" s="25">
        <f t="shared" si="51"/>
        <v>17710419.535094295</v>
      </c>
      <c r="S91" s="25">
        <f t="shared" si="51"/>
        <v>18500554.072907083</v>
      </c>
      <c r="T91" s="25">
        <f t="shared" si="51"/>
        <v>19267674.983404934</v>
      </c>
      <c r="U91" s="25">
        <f t="shared" si="51"/>
        <v>20012452.566412557</v>
      </c>
      <c r="V91" s="25">
        <f t="shared" si="51"/>
        <v>20735537.598458793</v>
      </c>
      <c r="W91" s="25">
        <f t="shared" si="51"/>
        <v>21437561.901416302</v>
      </c>
      <c r="X91" s="25">
        <f t="shared" si="51"/>
        <v>22119138.894578934</v>
      </c>
      <c r="Y91" s="25">
        <f t="shared" si="51"/>
        <v>22780864.130659159</v>
      </c>
      <c r="Z91" s="25">
        <f t="shared" si="51"/>
        <v>23423315.816173941</v>
      </c>
      <c r="AA91" s="25">
        <f t="shared" si="51"/>
        <v>24047055.31667373</v>
      </c>
      <c r="AB91" s="25">
        <f t="shared" si="51"/>
        <v>24652627.647256047</v>
      </c>
      <c r="AC91" s="25">
        <f t="shared" si="51"/>
        <v>25240561.948792279</v>
      </c>
      <c r="AD91" s="25">
        <f t="shared" si="51"/>
        <v>25811371.950283766</v>
      </c>
      <c r="AE91" s="29">
        <f t="shared" si="51"/>
        <v>26365556.417751227</v>
      </c>
    </row>
    <row r="92" spans="1:33" x14ac:dyDescent="0.2">
      <c r="A92" s="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96"/>
    </row>
    <row r="93" spans="1:33" x14ac:dyDescent="0.2">
      <c r="A93" s="54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57"/>
    </row>
    <row r="94" spans="1:33" ht="15.75" x14ac:dyDescent="0.25">
      <c r="A94" s="110"/>
      <c r="B94" s="102" t="s">
        <v>175</v>
      </c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11"/>
      <c r="AG94" s="46" t="s">
        <v>170</v>
      </c>
    </row>
    <row r="95" spans="1:33" ht="15.75" x14ac:dyDescent="0.25">
      <c r="A95" s="101" t="s">
        <v>28</v>
      </c>
      <c r="B95" s="104" t="str">
        <f>+B80</f>
        <v>Year 1</v>
      </c>
      <c r="C95" s="104" t="str">
        <f>+C80</f>
        <v>Year 2</v>
      </c>
      <c r="D95" s="104" t="str">
        <f>+D80</f>
        <v>Year 3</v>
      </c>
      <c r="E95" s="104" t="str">
        <f t="shared" ref="E95:AE95" si="52">+E80</f>
        <v>Year 4</v>
      </c>
      <c r="F95" s="104" t="str">
        <f t="shared" si="52"/>
        <v>Year 5</v>
      </c>
      <c r="G95" s="104" t="str">
        <f t="shared" si="52"/>
        <v>Year 6</v>
      </c>
      <c r="H95" s="104" t="str">
        <f t="shared" si="52"/>
        <v>Year 7</v>
      </c>
      <c r="I95" s="104" t="str">
        <f t="shared" si="52"/>
        <v>Year 8</v>
      </c>
      <c r="J95" s="104" t="str">
        <f t="shared" si="52"/>
        <v>Year 9</v>
      </c>
      <c r="K95" s="104" t="str">
        <f t="shared" si="52"/>
        <v>Year 10</v>
      </c>
      <c r="L95" s="104" t="str">
        <f t="shared" si="52"/>
        <v>Year 11</v>
      </c>
      <c r="M95" s="104" t="str">
        <f t="shared" si="52"/>
        <v>Year 12</v>
      </c>
      <c r="N95" s="104" t="str">
        <f t="shared" si="52"/>
        <v>Year 13</v>
      </c>
      <c r="O95" s="104" t="str">
        <f t="shared" si="52"/>
        <v>Year 14</v>
      </c>
      <c r="P95" s="104" t="str">
        <f t="shared" si="52"/>
        <v>Year 15</v>
      </c>
      <c r="Q95" s="104" t="str">
        <f t="shared" si="52"/>
        <v>Year 16</v>
      </c>
      <c r="R95" s="104" t="str">
        <f t="shared" si="52"/>
        <v>Year 17</v>
      </c>
      <c r="S95" s="104" t="str">
        <f t="shared" si="52"/>
        <v>Year 18</v>
      </c>
      <c r="T95" s="104" t="str">
        <f t="shared" si="52"/>
        <v>Year 19</v>
      </c>
      <c r="U95" s="104" t="str">
        <f t="shared" si="52"/>
        <v>Year 20</v>
      </c>
      <c r="V95" s="104" t="str">
        <f t="shared" si="52"/>
        <v>Year 21</v>
      </c>
      <c r="W95" s="104" t="str">
        <f t="shared" si="52"/>
        <v>Year 22</v>
      </c>
      <c r="X95" s="104" t="str">
        <f t="shared" si="52"/>
        <v>Year 23</v>
      </c>
      <c r="Y95" s="104" t="str">
        <f t="shared" si="52"/>
        <v>Year 24</v>
      </c>
      <c r="Z95" s="104" t="str">
        <f t="shared" si="52"/>
        <v>Year 25</v>
      </c>
      <c r="AA95" s="104" t="str">
        <f t="shared" si="52"/>
        <v>Year 26</v>
      </c>
      <c r="AB95" s="104" t="str">
        <f t="shared" si="52"/>
        <v>Year 27</v>
      </c>
      <c r="AC95" s="104" t="str">
        <f t="shared" si="52"/>
        <v>Year 28</v>
      </c>
      <c r="AD95" s="104" t="str">
        <f t="shared" si="52"/>
        <v>Year 29</v>
      </c>
      <c r="AE95" s="105" t="str">
        <f t="shared" si="52"/>
        <v>Year 30</v>
      </c>
      <c r="AG95" s="46" t="s">
        <v>166</v>
      </c>
    </row>
    <row r="96" spans="1:33" ht="15.75" x14ac:dyDescent="0.25">
      <c r="A96" s="97">
        <v>0.1</v>
      </c>
      <c r="B96" s="25">
        <f>+B6*0.0612</f>
        <v>2257529.1243479997</v>
      </c>
      <c r="C96" s="25">
        <f>(+B96/(1+$A$6))</f>
        <v>2052299.2039527269</v>
      </c>
      <c r="D96" s="25">
        <f>(+C96/(1+$A$6))</f>
        <v>1865726.5490479334</v>
      </c>
      <c r="E96" s="25">
        <f t="shared" ref="E96:AE96" si="53">(+D96/(1+$A$6))</f>
        <v>1696115.0445890303</v>
      </c>
      <c r="F96" s="25">
        <f t="shared" si="53"/>
        <v>1541922.7678082092</v>
      </c>
      <c r="G96" s="25">
        <f t="shared" si="53"/>
        <v>1401747.9707347355</v>
      </c>
      <c r="H96" s="25">
        <f t="shared" si="53"/>
        <v>1274316.3370315777</v>
      </c>
      <c r="I96" s="25">
        <f t="shared" si="53"/>
        <v>1158469.3973014343</v>
      </c>
      <c r="J96" s="25">
        <f t="shared" si="53"/>
        <v>1053153.9975467583</v>
      </c>
      <c r="K96" s="25">
        <f t="shared" si="53"/>
        <v>957412.7250425074</v>
      </c>
      <c r="L96" s="25">
        <f t="shared" si="53"/>
        <v>870375.20458409761</v>
      </c>
      <c r="M96" s="25">
        <f t="shared" si="53"/>
        <v>791250.18598554318</v>
      </c>
      <c r="N96" s="25">
        <f t="shared" si="53"/>
        <v>719318.35089594824</v>
      </c>
      <c r="O96" s="25">
        <f t="shared" si="53"/>
        <v>653925.77354177111</v>
      </c>
      <c r="P96" s="25">
        <f t="shared" si="53"/>
        <v>594477.97594706458</v>
      </c>
      <c r="Q96" s="25">
        <f t="shared" si="53"/>
        <v>540434.5235882405</v>
      </c>
      <c r="R96" s="25">
        <f t="shared" si="53"/>
        <v>491304.11235294584</v>
      </c>
      <c r="S96" s="25">
        <f t="shared" si="53"/>
        <v>446640.10213904164</v>
      </c>
      <c r="T96" s="25">
        <f t="shared" si="53"/>
        <v>406036.45649003785</v>
      </c>
      <c r="U96" s="25">
        <f t="shared" si="53"/>
        <v>369124.0513545798</v>
      </c>
      <c r="V96" s="25">
        <f t="shared" si="53"/>
        <v>335567.31941325433</v>
      </c>
      <c r="W96" s="25">
        <f t="shared" si="53"/>
        <v>305061.19946659484</v>
      </c>
      <c r="X96" s="25">
        <f t="shared" si="53"/>
        <v>277328.36315144983</v>
      </c>
      <c r="Y96" s="25">
        <f t="shared" si="53"/>
        <v>252116.69377404527</v>
      </c>
      <c r="Z96" s="25">
        <f t="shared" si="53"/>
        <v>229196.99434004113</v>
      </c>
      <c r="AA96" s="25">
        <f t="shared" si="53"/>
        <v>208360.90394549191</v>
      </c>
      <c r="AB96" s="25">
        <f t="shared" si="53"/>
        <v>189419.00358681081</v>
      </c>
      <c r="AC96" s="25">
        <f t="shared" si="53"/>
        <v>172199.09416982799</v>
      </c>
      <c r="AD96" s="25">
        <f t="shared" si="53"/>
        <v>156544.63106347999</v>
      </c>
      <c r="AE96" s="29">
        <f t="shared" si="53"/>
        <v>142313.30096679999</v>
      </c>
      <c r="AG96" s="46" t="s">
        <v>171</v>
      </c>
    </row>
    <row r="97" spans="1:31" x14ac:dyDescent="0.2">
      <c r="A97" s="97"/>
      <c r="B97" s="25">
        <f>+B96</f>
        <v>2257529.1243479997</v>
      </c>
      <c r="C97" s="25">
        <f t="shared" ref="C97:AE97" si="54">+C96+B97</f>
        <v>4309828.3283007266</v>
      </c>
      <c r="D97" s="25">
        <f t="shared" si="54"/>
        <v>6175554.8773486596</v>
      </c>
      <c r="E97" s="25">
        <f t="shared" si="54"/>
        <v>7871669.9219376901</v>
      </c>
      <c r="F97" s="25">
        <f t="shared" si="54"/>
        <v>9413592.6897458993</v>
      </c>
      <c r="G97" s="25">
        <f t="shared" si="54"/>
        <v>10815340.660480635</v>
      </c>
      <c r="H97" s="25">
        <f t="shared" si="54"/>
        <v>12089656.997512214</v>
      </c>
      <c r="I97" s="25">
        <f t="shared" si="54"/>
        <v>13248126.394813647</v>
      </c>
      <c r="J97" s="25">
        <f t="shared" si="54"/>
        <v>14301280.392360406</v>
      </c>
      <c r="K97" s="25">
        <f t="shared" si="54"/>
        <v>15258693.117402913</v>
      </c>
      <c r="L97" s="25">
        <f t="shared" si="54"/>
        <v>16129068.321987011</v>
      </c>
      <c r="M97" s="25">
        <f t="shared" si="54"/>
        <v>16920318.507972553</v>
      </c>
      <c r="N97" s="25">
        <f t="shared" si="54"/>
        <v>17639636.858868502</v>
      </c>
      <c r="O97" s="25">
        <f t="shared" si="54"/>
        <v>18293562.632410273</v>
      </c>
      <c r="P97" s="25">
        <f t="shared" si="54"/>
        <v>18888040.608357336</v>
      </c>
      <c r="Q97" s="25">
        <f t="shared" si="54"/>
        <v>19428475.131945577</v>
      </c>
      <c r="R97" s="25">
        <f t="shared" si="54"/>
        <v>19919779.244298521</v>
      </c>
      <c r="S97" s="25">
        <f t="shared" si="54"/>
        <v>20366419.346437562</v>
      </c>
      <c r="T97" s="25">
        <f t="shared" si="54"/>
        <v>20772455.802927598</v>
      </c>
      <c r="U97" s="25">
        <f t="shared" si="54"/>
        <v>21141579.854282178</v>
      </c>
      <c r="V97" s="25">
        <f t="shared" si="54"/>
        <v>21477147.173695434</v>
      </c>
      <c r="W97" s="25">
        <f t="shared" si="54"/>
        <v>21782208.373162027</v>
      </c>
      <c r="X97" s="25">
        <f t="shared" si="54"/>
        <v>22059536.736313477</v>
      </c>
      <c r="Y97" s="25">
        <f t="shared" si="54"/>
        <v>22311653.430087522</v>
      </c>
      <c r="Z97" s="25">
        <f t="shared" si="54"/>
        <v>22540850.424427561</v>
      </c>
      <c r="AA97" s="25">
        <f t="shared" si="54"/>
        <v>22749211.328373052</v>
      </c>
      <c r="AB97" s="25">
        <f t="shared" si="54"/>
        <v>22938630.331959862</v>
      </c>
      <c r="AC97" s="25">
        <f t="shared" si="54"/>
        <v>23110829.426129691</v>
      </c>
      <c r="AD97" s="25">
        <f t="shared" si="54"/>
        <v>23267374.057193171</v>
      </c>
      <c r="AE97" s="29">
        <f t="shared" si="54"/>
        <v>23409687.35815997</v>
      </c>
    </row>
    <row r="98" spans="1:31" x14ac:dyDescent="0.2">
      <c r="A98" s="97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9"/>
    </row>
    <row r="99" spans="1:31" x14ac:dyDescent="0.2">
      <c r="A99" s="97">
        <v>7.0000000000000007E-2</v>
      </c>
      <c r="B99" s="25">
        <f>+B96</f>
        <v>2257529.1243479997</v>
      </c>
      <c r="C99" s="25">
        <f>(+B99/(1+$A$9))</f>
        <v>2109840.3031289717</v>
      </c>
      <c r="D99" s="25">
        <f t="shared" ref="D99:AE99" si="55">(+C99/(1+$A$9))</f>
        <v>1971813.3674102537</v>
      </c>
      <c r="E99" s="25">
        <f t="shared" si="55"/>
        <v>1842816.2312245362</v>
      </c>
      <c r="F99" s="25">
        <f t="shared" si="55"/>
        <v>1722258.1600229309</v>
      </c>
      <c r="G99" s="25">
        <f t="shared" si="55"/>
        <v>1609587.0654419914</v>
      </c>
      <c r="H99" s="25">
        <f t="shared" si="55"/>
        <v>1504286.9770485901</v>
      </c>
      <c r="I99" s="25">
        <f t="shared" si="55"/>
        <v>1405875.6794846635</v>
      </c>
      <c r="J99" s="25">
        <f t="shared" si="55"/>
        <v>1313902.5041912743</v>
      </c>
      <c r="K99" s="25">
        <f t="shared" si="55"/>
        <v>1227946.2655993218</v>
      </c>
      <c r="L99" s="25">
        <f t="shared" si="55"/>
        <v>1147613.3323358146</v>
      </c>
      <c r="M99" s="25">
        <f t="shared" si="55"/>
        <v>1072535.8246129109</v>
      </c>
      <c r="N99" s="25">
        <f t="shared" si="55"/>
        <v>1002369.9295447764</v>
      </c>
      <c r="O99" s="25">
        <f t="shared" si="55"/>
        <v>936794.32667736115</v>
      </c>
      <c r="P99" s="25">
        <f t="shared" si="55"/>
        <v>875508.71652089828</v>
      </c>
      <c r="Q99" s="25">
        <f t="shared" si="55"/>
        <v>818232.4453466339</v>
      </c>
      <c r="R99" s="25">
        <f t="shared" si="55"/>
        <v>764703.21995012509</v>
      </c>
      <c r="S99" s="25">
        <f t="shared" si="55"/>
        <v>714675.90649544401</v>
      </c>
      <c r="T99" s="25">
        <f t="shared" si="55"/>
        <v>667921.40793966723</v>
      </c>
      <c r="U99" s="25">
        <f t="shared" si="55"/>
        <v>624225.61489688524</v>
      </c>
      <c r="V99" s="25">
        <f t="shared" si="55"/>
        <v>583388.42513727583</v>
      </c>
      <c r="W99" s="25">
        <f t="shared" si="55"/>
        <v>545222.8272310989</v>
      </c>
      <c r="X99" s="25">
        <f t="shared" si="55"/>
        <v>509554.04414121388</v>
      </c>
      <c r="Y99" s="25">
        <f t="shared" si="55"/>
        <v>476218.73284225591</v>
      </c>
      <c r="Z99" s="25">
        <f t="shared" si="55"/>
        <v>445064.23630117375</v>
      </c>
      <c r="AA99" s="25">
        <f t="shared" si="55"/>
        <v>415947.8843936203</v>
      </c>
      <c r="AB99" s="25">
        <f t="shared" si="55"/>
        <v>388736.34055478533</v>
      </c>
      <c r="AC99" s="25">
        <f t="shared" si="55"/>
        <v>363304.99117269658</v>
      </c>
      <c r="AD99" s="25">
        <f t="shared" si="55"/>
        <v>339537.37492775382</v>
      </c>
      <c r="AE99" s="29">
        <f t="shared" si="55"/>
        <v>317324.64946519048</v>
      </c>
    </row>
    <row r="100" spans="1:31" x14ac:dyDescent="0.2">
      <c r="A100" s="97"/>
      <c r="B100" s="25">
        <f>+B99</f>
        <v>2257529.1243479997</v>
      </c>
      <c r="C100" s="25">
        <f t="shared" ref="C100:AE100" si="56">+C99+B100</f>
        <v>4367369.4274769714</v>
      </c>
      <c r="D100" s="25">
        <f t="shared" si="56"/>
        <v>6339182.7948872251</v>
      </c>
      <c r="E100" s="25">
        <f t="shared" si="56"/>
        <v>8181999.0261117611</v>
      </c>
      <c r="F100" s="25">
        <f t="shared" si="56"/>
        <v>9904257.1861346923</v>
      </c>
      <c r="G100" s="25">
        <f t="shared" si="56"/>
        <v>11513844.251576684</v>
      </c>
      <c r="H100" s="25">
        <f t="shared" si="56"/>
        <v>13018131.228625275</v>
      </c>
      <c r="I100" s="25">
        <f t="shared" si="56"/>
        <v>14424006.908109939</v>
      </c>
      <c r="J100" s="25">
        <f t="shared" si="56"/>
        <v>15737909.412301213</v>
      </c>
      <c r="K100" s="25">
        <f t="shared" si="56"/>
        <v>16965855.677900534</v>
      </c>
      <c r="L100" s="25">
        <f t="shared" si="56"/>
        <v>18113469.010236349</v>
      </c>
      <c r="M100" s="25">
        <f t="shared" si="56"/>
        <v>19186004.834849261</v>
      </c>
      <c r="N100" s="25">
        <f t="shared" si="56"/>
        <v>20188374.764394037</v>
      </c>
      <c r="O100" s="25">
        <f t="shared" si="56"/>
        <v>21125169.091071397</v>
      </c>
      <c r="P100" s="25">
        <f t="shared" si="56"/>
        <v>22000677.807592295</v>
      </c>
      <c r="Q100" s="25">
        <f t="shared" si="56"/>
        <v>22818910.25293893</v>
      </c>
      <c r="R100" s="25">
        <f t="shared" si="56"/>
        <v>23583613.472889055</v>
      </c>
      <c r="S100" s="25">
        <f t="shared" si="56"/>
        <v>24298289.379384499</v>
      </c>
      <c r="T100" s="25">
        <f t="shared" si="56"/>
        <v>24966210.787324168</v>
      </c>
      <c r="U100" s="25">
        <f t="shared" si="56"/>
        <v>25590436.402221054</v>
      </c>
      <c r="V100" s="25">
        <f t="shared" si="56"/>
        <v>26173824.827358328</v>
      </c>
      <c r="W100" s="25">
        <f t="shared" si="56"/>
        <v>26719047.654589426</v>
      </c>
      <c r="X100" s="25">
        <f t="shared" si="56"/>
        <v>27228601.69873064</v>
      </c>
      <c r="Y100" s="25">
        <f t="shared" si="56"/>
        <v>27704820.431572895</v>
      </c>
      <c r="Z100" s="25">
        <f t="shared" si="56"/>
        <v>28149884.667874068</v>
      </c>
      <c r="AA100" s="25">
        <f t="shared" si="56"/>
        <v>28565832.552267689</v>
      </c>
      <c r="AB100" s="25">
        <f t="shared" si="56"/>
        <v>28954568.892822474</v>
      </c>
      <c r="AC100" s="25">
        <f t="shared" si="56"/>
        <v>29317873.883995172</v>
      </c>
      <c r="AD100" s="25">
        <f t="shared" si="56"/>
        <v>29657411.258922927</v>
      </c>
      <c r="AE100" s="29">
        <f t="shared" si="56"/>
        <v>29974735.908388119</v>
      </c>
    </row>
    <row r="101" spans="1:31" x14ac:dyDescent="0.2">
      <c r="A101" s="97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9"/>
    </row>
    <row r="102" spans="1:31" x14ac:dyDescent="0.2">
      <c r="A102" s="97">
        <v>0.05</v>
      </c>
      <c r="B102" s="25">
        <f>+B96</f>
        <v>2257529.1243479997</v>
      </c>
      <c r="C102" s="25">
        <f>(+B102/(1+$A$12))</f>
        <v>2150027.7374742855</v>
      </c>
      <c r="D102" s="25">
        <f t="shared" ref="D102:AE102" si="57">(+C102/(1+$A$12))</f>
        <v>2047645.4642612243</v>
      </c>
      <c r="E102" s="25">
        <f t="shared" si="57"/>
        <v>1950138.5373916421</v>
      </c>
      <c r="F102" s="25">
        <f t="shared" si="57"/>
        <v>1857274.7975158496</v>
      </c>
      <c r="G102" s="25">
        <f t="shared" si="57"/>
        <v>1768833.1404912851</v>
      </c>
      <c r="H102" s="25">
        <f t="shared" si="57"/>
        <v>1684602.990944081</v>
      </c>
      <c r="I102" s="25">
        <f t="shared" si="57"/>
        <v>1604383.8008991247</v>
      </c>
      <c r="J102" s="25">
        <f t="shared" si="57"/>
        <v>1527984.5722848806</v>
      </c>
      <c r="K102" s="25">
        <f t="shared" si="57"/>
        <v>1455223.4021760765</v>
      </c>
      <c r="L102" s="25">
        <f t="shared" si="57"/>
        <v>1385927.0496915013</v>
      </c>
      <c r="M102" s="25">
        <f t="shared" si="57"/>
        <v>1319930.5235157155</v>
      </c>
      <c r="N102" s="25">
        <f t="shared" si="57"/>
        <v>1257076.6890625861</v>
      </c>
      <c r="O102" s="25">
        <f t="shared" si="57"/>
        <v>1197215.8943453201</v>
      </c>
      <c r="P102" s="25">
        <f t="shared" si="57"/>
        <v>1140205.6136622096</v>
      </c>
      <c r="Q102" s="25">
        <f t="shared" si="57"/>
        <v>1085910.1082497234</v>
      </c>
      <c r="R102" s="25">
        <f t="shared" si="57"/>
        <v>1034200.1030949746</v>
      </c>
      <c r="S102" s="25">
        <f t="shared" si="57"/>
        <v>984952.47913807107</v>
      </c>
      <c r="T102" s="25">
        <f t="shared" si="57"/>
        <v>938049.98013149621</v>
      </c>
      <c r="U102" s="25">
        <f t="shared" si="57"/>
        <v>893380.93345856783</v>
      </c>
      <c r="V102" s="25">
        <f t="shared" si="57"/>
        <v>850838.98424625502</v>
      </c>
      <c r="W102" s="25">
        <f t="shared" si="57"/>
        <v>810322.84213929041</v>
      </c>
      <c r="X102" s="25">
        <f t="shared" si="57"/>
        <v>771736.04013265751</v>
      </c>
      <c r="Y102" s="25">
        <f t="shared" si="57"/>
        <v>734986.70488824521</v>
      </c>
      <c r="Z102" s="25">
        <f t="shared" si="57"/>
        <v>699987.33798880491</v>
      </c>
      <c r="AA102" s="25">
        <f t="shared" si="57"/>
        <v>666654.60760838562</v>
      </c>
      <c r="AB102" s="25">
        <f t="shared" si="57"/>
        <v>634909.15010322432</v>
      </c>
      <c r="AC102" s="25">
        <f t="shared" si="57"/>
        <v>604675.38105068984</v>
      </c>
      <c r="AD102" s="25">
        <f t="shared" si="57"/>
        <v>575881.31528637127</v>
      </c>
      <c r="AE102" s="29">
        <f t="shared" si="57"/>
        <v>548458.39551082975</v>
      </c>
    </row>
    <row r="103" spans="1:31" x14ac:dyDescent="0.2">
      <c r="A103" s="97"/>
      <c r="B103" s="25">
        <f>+B102</f>
        <v>2257529.1243479997</v>
      </c>
      <c r="C103" s="25">
        <f t="shared" ref="C103:AE103" si="58">+C102+B103</f>
        <v>4407556.8618222848</v>
      </c>
      <c r="D103" s="25">
        <f t="shared" si="58"/>
        <v>6455202.3260835093</v>
      </c>
      <c r="E103" s="25">
        <f t="shared" si="58"/>
        <v>8405340.8634751514</v>
      </c>
      <c r="F103" s="25">
        <f t="shared" si="58"/>
        <v>10262615.660991002</v>
      </c>
      <c r="G103" s="25">
        <f t="shared" si="58"/>
        <v>12031448.801482286</v>
      </c>
      <c r="H103" s="25">
        <f t="shared" si="58"/>
        <v>13716051.792426366</v>
      </c>
      <c r="I103" s="25">
        <f t="shared" si="58"/>
        <v>15320435.593325492</v>
      </c>
      <c r="J103" s="25">
        <f t="shared" si="58"/>
        <v>16848420.165610373</v>
      </c>
      <c r="K103" s="25">
        <f t="shared" si="58"/>
        <v>18303643.567786448</v>
      </c>
      <c r="L103" s="25">
        <f t="shared" si="58"/>
        <v>19689570.61747795</v>
      </c>
      <c r="M103" s="25">
        <f t="shared" si="58"/>
        <v>21009501.140993666</v>
      </c>
      <c r="N103" s="25">
        <f t="shared" si="58"/>
        <v>22266577.83005625</v>
      </c>
      <c r="O103" s="25">
        <f t="shared" si="58"/>
        <v>23463793.724401571</v>
      </c>
      <c r="P103" s="25">
        <f t="shared" si="58"/>
        <v>24603999.33806378</v>
      </c>
      <c r="Q103" s="25">
        <f t="shared" si="58"/>
        <v>25689909.446313504</v>
      </c>
      <c r="R103" s="25">
        <f t="shared" si="58"/>
        <v>26724109.549408481</v>
      </c>
      <c r="S103" s="25">
        <f t="shared" si="58"/>
        <v>27709062.028546553</v>
      </c>
      <c r="T103" s="25">
        <f t="shared" si="58"/>
        <v>28647112.008678049</v>
      </c>
      <c r="U103" s="25">
        <f t="shared" si="58"/>
        <v>29540492.942136616</v>
      </c>
      <c r="V103" s="25">
        <f t="shared" si="58"/>
        <v>30391331.926382869</v>
      </c>
      <c r="W103" s="25">
        <f t="shared" si="58"/>
        <v>31201654.768522158</v>
      </c>
      <c r="X103" s="25">
        <f t="shared" si="58"/>
        <v>31973390.808654815</v>
      </c>
      <c r="Y103" s="25">
        <f t="shared" si="58"/>
        <v>32708377.513543062</v>
      </c>
      <c r="Z103" s="25">
        <f t="shared" si="58"/>
        <v>33408364.851531867</v>
      </c>
      <c r="AA103" s="25">
        <f t="shared" si="58"/>
        <v>34075019.459140256</v>
      </c>
      <c r="AB103" s="25">
        <f t="shared" si="58"/>
        <v>34709928.609243482</v>
      </c>
      <c r="AC103" s="25">
        <f t="shared" si="58"/>
        <v>35314603.990294173</v>
      </c>
      <c r="AD103" s="25">
        <f t="shared" si="58"/>
        <v>35890485.305580541</v>
      </c>
      <c r="AE103" s="29">
        <f t="shared" si="58"/>
        <v>36438943.701091371</v>
      </c>
    </row>
    <row r="104" spans="1:31" x14ac:dyDescent="0.2">
      <c r="A104" s="97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9"/>
    </row>
    <row r="105" spans="1:31" x14ac:dyDescent="0.2">
      <c r="A105" s="97">
        <v>0.03</v>
      </c>
      <c r="B105" s="25">
        <f>+B96</f>
        <v>2257529.1243479997</v>
      </c>
      <c r="C105" s="25">
        <f>(+B105/(1+$A$15))</f>
        <v>2191775.8488815529</v>
      </c>
      <c r="D105" s="25">
        <f t="shared" ref="D105:AE105" si="59">(+C105/(1+$A$15))</f>
        <v>2127937.7173607307</v>
      </c>
      <c r="E105" s="25">
        <f t="shared" si="59"/>
        <v>2065958.9488939133</v>
      </c>
      <c r="F105" s="25">
        <f t="shared" si="59"/>
        <v>2005785.3872756439</v>
      </c>
      <c r="G105" s="25">
        <f t="shared" si="59"/>
        <v>1947364.4536656737</v>
      </c>
      <c r="H105" s="25">
        <f t="shared" si="59"/>
        <v>1890645.1006462851</v>
      </c>
      <c r="I105" s="25">
        <f t="shared" si="59"/>
        <v>1835577.7676177525</v>
      </c>
      <c r="J105" s="25">
        <f t="shared" si="59"/>
        <v>1782114.3374929635</v>
      </c>
      <c r="K105" s="25">
        <f t="shared" si="59"/>
        <v>1730208.0946533626</v>
      </c>
      <c r="L105" s="25">
        <f t="shared" si="59"/>
        <v>1679813.6841294782</v>
      </c>
      <c r="M105" s="25">
        <f t="shared" si="59"/>
        <v>1630887.0719703671</v>
      </c>
      <c r="N105" s="25">
        <f t="shared" si="59"/>
        <v>1583385.5067673468</v>
      </c>
      <c r="O105" s="25">
        <f t="shared" si="59"/>
        <v>1537267.4822983949</v>
      </c>
      <c r="P105" s="25">
        <f t="shared" si="59"/>
        <v>1492492.7012605774</v>
      </c>
      <c r="Q105" s="25">
        <f t="shared" si="59"/>
        <v>1449022.0400588131</v>
      </c>
      <c r="R105" s="25">
        <f t="shared" si="59"/>
        <v>1406817.5146202068</v>
      </c>
      <c r="S105" s="25">
        <f t="shared" si="59"/>
        <v>1365842.2472040842</v>
      </c>
      <c r="T105" s="25">
        <f t="shared" si="59"/>
        <v>1326060.4341787226</v>
      </c>
      <c r="U105" s="25">
        <f t="shared" si="59"/>
        <v>1287437.3147366238</v>
      </c>
      <c r="V105" s="25">
        <f t="shared" si="59"/>
        <v>1249939.1405209939</v>
      </c>
      <c r="W105" s="25">
        <f t="shared" si="59"/>
        <v>1213533.1461368871</v>
      </c>
      <c r="X105" s="25">
        <f t="shared" si="59"/>
        <v>1178187.5205212496</v>
      </c>
      <c r="Y105" s="25">
        <f t="shared" si="59"/>
        <v>1143871.3791468441</v>
      </c>
      <c r="Z105" s="25">
        <f t="shared" si="59"/>
        <v>1110554.7370357709</v>
      </c>
      <c r="AA105" s="25">
        <f t="shared" si="59"/>
        <v>1078208.4825590008</v>
      </c>
      <c r="AB105" s="25">
        <f t="shared" si="59"/>
        <v>1046804.3519990299</v>
      </c>
      <c r="AC105" s="25">
        <f t="shared" si="59"/>
        <v>1016314.9048534271</v>
      </c>
      <c r="AD105" s="25">
        <f t="shared" si="59"/>
        <v>986713.49985769612</v>
      </c>
      <c r="AE105" s="29">
        <f t="shared" si="59"/>
        <v>957974.27170650102</v>
      </c>
    </row>
    <row r="106" spans="1:31" ht="15.75" thickBot="1" x14ac:dyDescent="0.25">
      <c r="A106" s="20"/>
      <c r="B106" s="44">
        <f>+B105</f>
        <v>2257529.1243479997</v>
      </c>
      <c r="C106" s="44">
        <f t="shared" ref="C106:AE106" si="60">+C105+B106</f>
        <v>4449304.9732295526</v>
      </c>
      <c r="D106" s="44">
        <f t="shared" si="60"/>
        <v>6577242.6905902829</v>
      </c>
      <c r="E106" s="44">
        <f t="shared" si="60"/>
        <v>8643201.6394841969</v>
      </c>
      <c r="F106" s="44">
        <f t="shared" si="60"/>
        <v>10648987.026759841</v>
      </c>
      <c r="G106" s="44">
        <f t="shared" si="60"/>
        <v>12596351.480425514</v>
      </c>
      <c r="H106" s="44">
        <f t="shared" si="60"/>
        <v>14486996.5810718</v>
      </c>
      <c r="I106" s="44">
        <f t="shared" si="60"/>
        <v>16322574.348689552</v>
      </c>
      <c r="J106" s="44">
        <f t="shared" si="60"/>
        <v>18104688.686182518</v>
      </c>
      <c r="K106" s="44">
        <f t="shared" si="60"/>
        <v>19834896.780835882</v>
      </c>
      <c r="L106" s="44">
        <f t="shared" si="60"/>
        <v>21514710.464965358</v>
      </c>
      <c r="M106" s="44">
        <f t="shared" si="60"/>
        <v>23145597.536935724</v>
      </c>
      <c r="N106" s="44">
        <f t="shared" si="60"/>
        <v>24728983.043703072</v>
      </c>
      <c r="O106" s="44">
        <f t="shared" si="60"/>
        <v>26266250.526001468</v>
      </c>
      <c r="P106" s="44">
        <f t="shared" si="60"/>
        <v>27758743.227262046</v>
      </c>
      <c r="Q106" s="44">
        <f t="shared" si="60"/>
        <v>29207765.26732086</v>
      </c>
      <c r="R106" s="44">
        <f t="shared" si="60"/>
        <v>30614582.781941067</v>
      </c>
      <c r="S106" s="44">
        <f t="shared" si="60"/>
        <v>31980425.029145151</v>
      </c>
      <c r="T106" s="44">
        <f t="shared" si="60"/>
        <v>33306485.463323873</v>
      </c>
      <c r="U106" s="44">
        <f t="shared" si="60"/>
        <v>34593922.778060496</v>
      </c>
      <c r="V106" s="44">
        <f t="shared" si="60"/>
        <v>35843861.918581493</v>
      </c>
      <c r="W106" s="44">
        <f t="shared" si="60"/>
        <v>37057395.064718381</v>
      </c>
      <c r="X106" s="44">
        <f t="shared" si="60"/>
        <v>38235582.585239634</v>
      </c>
      <c r="Y106" s="44">
        <f t="shared" si="60"/>
        <v>39379453.964386478</v>
      </c>
      <c r="Z106" s="44">
        <f t="shared" si="60"/>
        <v>40490008.701422252</v>
      </c>
      <c r="AA106" s="44">
        <f t="shared" si="60"/>
        <v>41568217.183981255</v>
      </c>
      <c r="AB106" s="44">
        <f t="shared" si="60"/>
        <v>42615021.535980284</v>
      </c>
      <c r="AC106" s="44">
        <f t="shared" si="60"/>
        <v>43631336.44083371</v>
      </c>
      <c r="AD106" s="44">
        <f t="shared" si="60"/>
        <v>44618049.940691404</v>
      </c>
      <c r="AE106" s="98">
        <f t="shared" si="60"/>
        <v>45576024.212397903</v>
      </c>
    </row>
    <row r="107" spans="1:31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</row>
  </sheetData>
  <mergeCells count="1">
    <mergeCell ref="A1:AE1"/>
  </mergeCells>
  <phoneticPr fontId="2" type="noConversion"/>
  <printOptions horizontalCentered="1"/>
  <pageMargins left="0.15" right="0.15" top="0.15" bottom="0.15" header="0.15" footer="0.15"/>
  <pageSetup scale="95" fitToHeight="0" orientation="portrait" r:id="rId1"/>
  <headerFooter alignWithMargins="0"/>
  <rowBreaks count="2" manualBreakCount="2">
    <brk id="48" max="30" man="1"/>
    <brk id="93" max="3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8"/>
  <sheetViews>
    <sheetView view="pageBreakPreview" zoomScaleNormal="90" workbookViewId="0">
      <selection activeCell="G24" sqref="G24"/>
    </sheetView>
  </sheetViews>
  <sheetFormatPr defaultRowHeight="15" x14ac:dyDescent="0.2"/>
  <cols>
    <col min="1" max="1" width="30.21875" customWidth="1"/>
    <col min="2" max="2" width="15.33203125" style="48" bestFit="1" customWidth="1"/>
    <col min="3" max="3" width="12.77734375" style="3" bestFit="1" customWidth="1"/>
    <col min="4" max="4" width="14.6640625" style="48" customWidth="1"/>
    <col min="5" max="5" width="13.44140625" style="3" bestFit="1" customWidth="1"/>
    <col min="6" max="6" width="13.109375" style="2" bestFit="1" customWidth="1"/>
  </cols>
  <sheetData>
    <row r="1" spans="1:6" ht="36" thickBot="1" x14ac:dyDescent="0.25">
      <c r="A1" s="239" t="s">
        <v>92</v>
      </c>
      <c r="B1" s="240"/>
      <c r="C1" s="240"/>
      <c r="D1" s="240"/>
      <c r="E1" s="240"/>
      <c r="F1" s="241"/>
    </row>
    <row r="2" spans="1:6" ht="15.75" thickBot="1" x14ac:dyDescent="0.25">
      <c r="A2" s="242" t="s">
        <v>4</v>
      </c>
      <c r="B2" s="243"/>
      <c r="C2" s="243"/>
      <c r="D2" s="243"/>
      <c r="E2" s="243"/>
      <c r="F2" s="244"/>
    </row>
    <row r="3" spans="1:6" ht="48" thickBot="1" x14ac:dyDescent="0.3">
      <c r="A3" s="77" t="s">
        <v>130</v>
      </c>
      <c r="B3" s="76"/>
      <c r="C3" s="76"/>
      <c r="D3" s="165" t="s">
        <v>72</v>
      </c>
      <c r="E3" s="166"/>
      <c r="F3" s="78"/>
    </row>
    <row r="4" spans="1:6" ht="15.75" thickTop="1" x14ac:dyDescent="0.2">
      <c r="A4" s="79" t="s">
        <v>128</v>
      </c>
      <c r="B4" s="72"/>
      <c r="C4" s="74"/>
      <c r="D4" s="149">
        <f>+D40</f>
        <v>12969.289473922901</v>
      </c>
      <c r="E4" s="84"/>
      <c r="F4" s="80"/>
    </row>
    <row r="5" spans="1:6" ht="16.5" thickBot="1" x14ac:dyDescent="0.3">
      <c r="A5" s="81" t="s">
        <v>129</v>
      </c>
      <c r="B5" s="73"/>
      <c r="C5" s="75"/>
      <c r="D5" s="155">
        <f>+D4</f>
        <v>12969.289473922901</v>
      </c>
      <c r="E5" s="167"/>
      <c r="F5" s="82"/>
    </row>
    <row r="6" spans="1:6" ht="15.75" thickTop="1" x14ac:dyDescent="0.2">
      <c r="A6" s="54"/>
      <c r="B6" s="83"/>
      <c r="C6" s="84"/>
      <c r="D6" s="84"/>
      <c r="E6" s="84"/>
      <c r="F6" s="80"/>
    </row>
    <row r="7" spans="1:6" x14ac:dyDescent="0.2">
      <c r="A7" s="54"/>
      <c r="B7" s="83"/>
      <c r="C7" s="84"/>
      <c r="D7" s="84"/>
      <c r="E7" s="84"/>
      <c r="F7" s="80"/>
    </row>
    <row r="8" spans="1:6" ht="32.25" thickBot="1" x14ac:dyDescent="0.3">
      <c r="A8" s="81" t="s">
        <v>74</v>
      </c>
      <c r="B8" s="73"/>
      <c r="C8" s="156" t="s">
        <v>75</v>
      </c>
      <c r="D8" s="152" t="s">
        <v>90</v>
      </c>
      <c r="E8" s="168" t="s">
        <v>93</v>
      </c>
      <c r="F8" s="160"/>
    </row>
    <row r="9" spans="1:6" ht="16.5" thickTop="1" thickBot="1" x14ac:dyDescent="0.25">
      <c r="A9" s="90" t="s">
        <v>78</v>
      </c>
      <c r="B9" s="91"/>
      <c r="C9" s="157">
        <f>+'Discount Rates'!B25</f>
        <v>16729.129609977324</v>
      </c>
      <c r="D9" s="92">
        <f>+'Discount Rates'!K25</f>
        <v>125723.29433922112</v>
      </c>
      <c r="E9" s="169">
        <f>+'Discount Rates'!AE25</f>
        <v>222123.93037502494</v>
      </c>
      <c r="F9" s="161"/>
    </row>
    <row r="10" spans="1:6" ht="15.75" thickTop="1" x14ac:dyDescent="0.2">
      <c r="A10" s="54"/>
      <c r="B10" s="83"/>
      <c r="C10" s="158"/>
      <c r="D10" s="84"/>
      <c r="E10" s="170"/>
      <c r="F10" s="162"/>
    </row>
    <row r="11" spans="1:6" ht="32.25" thickBot="1" x14ac:dyDescent="0.3">
      <c r="A11" s="81" t="s">
        <v>79</v>
      </c>
      <c r="B11" s="73"/>
      <c r="C11" s="156" t="str">
        <f>+C8</f>
        <v>Annual</v>
      </c>
      <c r="D11" s="152" t="str">
        <f>+D8</f>
        <v>10-Year         Work Life</v>
      </c>
      <c r="E11" s="168" t="str">
        <f>+E8</f>
        <v>30-Year            Work Life</v>
      </c>
      <c r="F11" s="160"/>
    </row>
    <row r="12" spans="1:6" ht="15.75" thickTop="1" x14ac:dyDescent="0.2">
      <c r="A12" s="54" t="s">
        <v>188</v>
      </c>
      <c r="B12" s="83"/>
      <c r="C12" s="158">
        <f>+'Discount Rates'!B40/'ROI Cash Rec''d Fed''l &amp; State'!B40</f>
        <v>3533.1921736272107</v>
      </c>
      <c r="D12" s="84">
        <f>+'Discount Rates'!K40/'ROI Cash Rec''d Fed''l &amp; State'!B40</f>
        <v>26552.759764443501</v>
      </c>
      <c r="E12" s="170">
        <f>+'Discount Rates'!AE40/'ROI Cash Rec''d Fed''l &amp; State'!B40</f>
        <v>46912.574095205266</v>
      </c>
      <c r="F12" s="162"/>
    </row>
    <row r="13" spans="1:6" x14ac:dyDescent="0.2">
      <c r="A13" s="54" t="s">
        <v>127</v>
      </c>
      <c r="B13" s="83"/>
      <c r="C13" s="158">
        <f>+'Discount Rates'!B70/'ROI Cash Rec''d Fed''l &amp; State'!B40</f>
        <v>403.8050068027211</v>
      </c>
      <c r="D13" s="84">
        <f>+'Discount Rates'!K70/'ROI Cash Rec''d Fed''l &amp; State'!B40</f>
        <v>3034.6884093498579</v>
      </c>
      <c r="E13" s="170">
        <f>+'Discount Rates'!AE70/'ROI Cash Rec''d Fed''l &amp; State'!B40</f>
        <v>5361.5912666872846</v>
      </c>
      <c r="F13" s="162"/>
    </row>
    <row r="14" spans="1:6" x14ac:dyDescent="0.2">
      <c r="A14" s="54" t="s">
        <v>2</v>
      </c>
      <c r="B14" s="83"/>
      <c r="C14" s="158">
        <f>+'Discount Rates'!B85/'ROI Cash Rec''d Fed''l &amp; State'!B40</f>
        <v>592.27755102040817</v>
      </c>
      <c r="D14" s="84">
        <f>+'Discount Rates'!K85/'ROI Cash Rec''d Fed''l &amp; State'!B40</f>
        <v>4451.1033516676043</v>
      </c>
      <c r="E14" s="170">
        <f>+'Discount Rates'!AE85/'ROI Cash Rec''d Fed''l &amp; State'!B40</f>
        <v>7864.068279265709</v>
      </c>
      <c r="F14" s="162"/>
    </row>
    <row r="15" spans="1:6" ht="16.5" thickBot="1" x14ac:dyDescent="0.3">
      <c r="A15" s="81" t="s">
        <v>12</v>
      </c>
      <c r="B15" s="73"/>
      <c r="C15" s="155">
        <f>SUM(C12:C14)</f>
        <v>4529.2747314503395</v>
      </c>
      <c r="D15" s="75">
        <f>SUM(D12:D14)</f>
        <v>34038.551525460964</v>
      </c>
      <c r="E15" s="153">
        <f>SUM(E12:E14)</f>
        <v>60138.233641158258</v>
      </c>
      <c r="F15" s="163"/>
    </row>
    <row r="16" spans="1:6" ht="17.25" thickTop="1" thickBot="1" x14ac:dyDescent="0.3">
      <c r="A16" s="86" t="s">
        <v>3</v>
      </c>
      <c r="B16" s="87"/>
      <c r="C16" s="201">
        <f>(+C15-D5)/D5</f>
        <v>-0.6507692467997368</v>
      </c>
      <c r="D16" s="208">
        <f>(+D15-D5)/D5</f>
        <v>1.6245502187225922</v>
      </c>
      <c r="E16" s="209">
        <f>(+E15-D5)/D5</f>
        <v>3.6369721149394527</v>
      </c>
      <c r="F16" s="164"/>
    </row>
    <row r="17" spans="1:6" ht="15.75" thickBot="1" x14ac:dyDescent="0.25">
      <c r="A17" s="54"/>
      <c r="B17" s="58"/>
      <c r="C17" s="56"/>
      <c r="D17" s="58"/>
      <c r="E17" s="56"/>
      <c r="F17" s="118"/>
    </row>
    <row r="18" spans="1:6" ht="21" thickBot="1" x14ac:dyDescent="0.35">
      <c r="A18" s="253" t="s">
        <v>176</v>
      </c>
      <c r="B18" s="254"/>
      <c r="C18" s="254"/>
      <c r="D18" s="254"/>
      <c r="E18" s="254"/>
      <c r="F18" s="255"/>
    </row>
    <row r="19" spans="1:6" ht="15.75" thickBot="1" x14ac:dyDescent="0.25">
      <c r="A19" s="54"/>
      <c r="B19" s="58"/>
      <c r="C19" s="56"/>
      <c r="D19" s="58"/>
      <c r="E19" s="56"/>
      <c r="F19" s="118"/>
    </row>
    <row r="20" spans="1:6" ht="16.5" thickBot="1" x14ac:dyDescent="0.3">
      <c r="A20" s="245" t="s">
        <v>177</v>
      </c>
      <c r="B20" s="248"/>
      <c r="C20" s="248"/>
      <c r="D20" s="248"/>
      <c r="E20" s="248"/>
      <c r="F20" s="249"/>
    </row>
    <row r="21" spans="1:6" ht="15.75" thickBot="1" x14ac:dyDescent="0.25">
      <c r="A21" s="21"/>
      <c r="B21" s="147"/>
      <c r="C21" s="250" t="s">
        <v>56</v>
      </c>
      <c r="D21" s="251"/>
      <c r="E21" s="251"/>
      <c r="F21" s="252"/>
    </row>
    <row r="22" spans="1:6" ht="15.75" thickBot="1" x14ac:dyDescent="0.25">
      <c r="A22" s="9"/>
      <c r="B22" s="148" t="s">
        <v>18</v>
      </c>
      <c r="C22" s="184" t="s">
        <v>19</v>
      </c>
      <c r="D22" s="185" t="s">
        <v>20</v>
      </c>
      <c r="E22" s="186" t="s">
        <v>21</v>
      </c>
      <c r="F22" s="187" t="s">
        <v>54</v>
      </c>
    </row>
    <row r="23" spans="1:6" ht="30" x14ac:dyDescent="0.2">
      <c r="A23" s="39" t="s">
        <v>113</v>
      </c>
      <c r="B23" s="60">
        <f>+'Discount Rates'!B70</f>
        <v>890390.04</v>
      </c>
      <c r="C23" s="174">
        <f>+'Discount Rates'!D70</f>
        <v>2500231.4085037992</v>
      </c>
      <c r="D23" s="174">
        <f>+'Discount Rates'!F70</f>
        <v>3906329.2061313642</v>
      </c>
      <c r="E23" s="175">
        <f>+'Discount Rates'!K70</f>
        <v>6691487.9426164366</v>
      </c>
      <c r="F23" s="176">
        <f>+'Discount Rates'!AE70</f>
        <v>11822308.743045462</v>
      </c>
    </row>
    <row r="24" spans="1:6" ht="30" x14ac:dyDescent="0.2">
      <c r="A24" s="39" t="s">
        <v>1</v>
      </c>
      <c r="B24" s="60">
        <f>+'Discount Rates'!B85</f>
        <v>1305972</v>
      </c>
      <c r="C24" s="60">
        <f>+'Discount Rates'!D85</f>
        <v>3667193.1022796747</v>
      </c>
      <c r="D24" s="60">
        <f>+'Discount Rates'!F85</f>
        <v>5729575.0590267051</v>
      </c>
      <c r="E24" s="61">
        <f>+'Discount Rates'!K85</f>
        <v>9814682.8904270679</v>
      </c>
      <c r="F24" s="62">
        <f>+'Discount Rates'!AE85</f>
        <v>17340270.555780888</v>
      </c>
    </row>
    <row r="25" spans="1:6" ht="30" x14ac:dyDescent="0.2">
      <c r="A25" s="39" t="s">
        <v>185</v>
      </c>
      <c r="B25" s="60">
        <f>+'Discount Rates'!B40</f>
        <v>7790688.7428479996</v>
      </c>
      <c r="C25" s="60">
        <f>+'Discount Rates'!D40</f>
        <v>21876395.527453955</v>
      </c>
      <c r="D25" s="60">
        <f>+'Discount Rates'!F40</f>
        <v>34179397.348229527</v>
      </c>
      <c r="E25" s="60">
        <f>+'Discount Rates'!K40</f>
        <v>58548835.280597918</v>
      </c>
      <c r="F25" s="63">
        <f>+'Discount Rates'!AE40</f>
        <v>103442225.87992761</v>
      </c>
    </row>
    <row r="26" spans="1:6" x14ac:dyDescent="0.2">
      <c r="A26" s="39" t="s">
        <v>22</v>
      </c>
      <c r="B26" s="60">
        <f>SUM(B23:B25)</f>
        <v>9987050.7828480005</v>
      </c>
      <c r="C26" s="60">
        <f>SUM(C23:C25)</f>
        <v>28043820.03823743</v>
      </c>
      <c r="D26" s="60">
        <f>SUM(D23:D25)</f>
        <v>43815301.6133876</v>
      </c>
      <c r="E26" s="61">
        <f>SUM(E23:E25)</f>
        <v>75055006.113641426</v>
      </c>
      <c r="F26" s="63">
        <f>SUM(F23:F25)</f>
        <v>132604805.17875396</v>
      </c>
    </row>
    <row r="27" spans="1:6" ht="18" customHeight="1" x14ac:dyDescent="0.2">
      <c r="A27" s="39" t="s">
        <v>23</v>
      </c>
      <c r="B27" s="60">
        <f>+C40</f>
        <v>28597283.289999999</v>
      </c>
      <c r="C27" s="60">
        <f>+B27</f>
        <v>28597283.289999999</v>
      </c>
      <c r="D27" s="60">
        <f>+B27</f>
        <v>28597283.289999999</v>
      </c>
      <c r="E27" s="61">
        <f>+B27</f>
        <v>28597283.289999999</v>
      </c>
      <c r="F27" s="63">
        <f>+C27</f>
        <v>28597283.289999999</v>
      </c>
    </row>
    <row r="28" spans="1:6" x14ac:dyDescent="0.2">
      <c r="A28" s="39" t="s">
        <v>26</v>
      </c>
      <c r="B28" s="30">
        <f>-B27+B26</f>
        <v>-18610232.507151999</v>
      </c>
      <c r="C28" s="30">
        <f>-C27+C26</f>
        <v>-553463.25176256895</v>
      </c>
      <c r="D28" s="30">
        <f>-D27+D26</f>
        <v>15218018.3233876</v>
      </c>
      <c r="E28" s="50">
        <f>-E27+E26</f>
        <v>46457722.823641427</v>
      </c>
      <c r="F28" s="31">
        <f>-F27+F26</f>
        <v>104007521.88875395</v>
      </c>
    </row>
    <row r="29" spans="1:6" ht="15.75" x14ac:dyDescent="0.25">
      <c r="A29" s="40" t="s">
        <v>24</v>
      </c>
      <c r="B29" s="36">
        <f>100*(B28/B27)</f>
        <v>-65.076924679973686</v>
      </c>
      <c r="C29" s="36">
        <f>100*(C28/C27)</f>
        <v>-1.9353700355030086</v>
      </c>
      <c r="D29" s="32">
        <f>100*(D28/D27)</f>
        <v>53.214909154356945</v>
      </c>
      <c r="E29" s="51">
        <f>100*(E28/E27)</f>
        <v>162.45502187225921</v>
      </c>
      <c r="F29" s="33">
        <f>100*(F28/F27)</f>
        <v>363.69721149394525</v>
      </c>
    </row>
    <row r="30" spans="1:6" ht="15.75" x14ac:dyDescent="0.25">
      <c r="A30" s="40" t="s">
        <v>25</v>
      </c>
      <c r="B30" s="36">
        <f>+B28/2146</f>
        <v>-8672.0561543112763</v>
      </c>
      <c r="C30" s="36">
        <f>+C28/2146</f>
        <v>-257.90459075608993</v>
      </c>
      <c r="D30" s="32">
        <f>+D28/2146</f>
        <v>7091.3412504136068</v>
      </c>
      <c r="E30" s="51">
        <f>+E28/2146</f>
        <v>21648.519489115297</v>
      </c>
      <c r="F30" s="33">
        <f>+F28/2146</f>
        <v>48465.760432783762</v>
      </c>
    </row>
    <row r="31" spans="1:6" ht="15.75" thickBot="1" x14ac:dyDescent="0.25">
      <c r="A31" s="11"/>
      <c r="B31" s="13"/>
      <c r="C31" s="64"/>
      <c r="D31" s="13"/>
      <c r="E31" s="52"/>
      <c r="F31" s="53"/>
    </row>
    <row r="32" spans="1:6" ht="15.75" thickBot="1" x14ac:dyDescent="0.25">
      <c r="A32" s="119"/>
      <c r="B32" s="58"/>
      <c r="C32" s="56"/>
      <c r="D32" s="58"/>
      <c r="E32" s="56"/>
      <c r="F32" s="118"/>
    </row>
    <row r="33" spans="1:12" ht="16.5" thickBot="1" x14ac:dyDescent="0.3">
      <c r="A33" s="245" t="s">
        <v>178</v>
      </c>
      <c r="B33" s="246"/>
      <c r="C33" s="246"/>
      <c r="D33" s="246"/>
      <c r="E33" s="246"/>
      <c r="F33" s="247"/>
    </row>
    <row r="34" spans="1:12" ht="15.75" x14ac:dyDescent="0.25">
      <c r="A34" s="22"/>
      <c r="B34" s="23" t="s">
        <v>59</v>
      </c>
      <c r="C34" s="23" t="s">
        <v>60</v>
      </c>
      <c r="D34" s="23" t="s">
        <v>61</v>
      </c>
      <c r="E34" s="23"/>
      <c r="F34" s="24"/>
    </row>
    <row r="35" spans="1:12" ht="30" x14ac:dyDescent="0.2">
      <c r="A35" s="27" t="s">
        <v>98</v>
      </c>
      <c r="B35" s="65">
        <f>+'Entry Required'!B3</f>
        <v>2205</v>
      </c>
      <c r="C35" s="60"/>
      <c r="D35" s="60">
        <f t="shared" ref="D35:D41" si="0">+C35/B35</f>
        <v>0</v>
      </c>
      <c r="E35" s="7"/>
      <c r="F35" s="10"/>
    </row>
    <row r="36" spans="1:12" ht="30" x14ac:dyDescent="0.2">
      <c r="A36" s="27" t="s">
        <v>99</v>
      </c>
      <c r="B36" s="65">
        <f>+'Entry Required'!B4</f>
        <v>1491</v>
      </c>
      <c r="C36" s="60"/>
      <c r="D36" s="60">
        <f t="shared" si="0"/>
        <v>0</v>
      </c>
      <c r="E36" s="7"/>
      <c r="F36" s="10"/>
    </row>
    <row r="37" spans="1:12" ht="30" x14ac:dyDescent="0.2">
      <c r="A37" s="27" t="s">
        <v>100</v>
      </c>
      <c r="B37" s="65">
        <f>+'Entry Required'!B5</f>
        <v>302</v>
      </c>
      <c r="C37" s="60"/>
      <c r="D37" s="60">
        <f t="shared" si="0"/>
        <v>0</v>
      </c>
      <c r="E37" s="7"/>
      <c r="F37" s="10"/>
    </row>
    <row r="38" spans="1:12" ht="30" x14ac:dyDescent="0.2">
      <c r="A38" s="27" t="s">
        <v>101</v>
      </c>
      <c r="B38" s="65">
        <f>+'Entry Required'!B6</f>
        <v>1672</v>
      </c>
      <c r="C38" s="60"/>
      <c r="D38" s="60">
        <f t="shared" si="0"/>
        <v>0</v>
      </c>
      <c r="E38" s="7"/>
      <c r="F38" s="10"/>
    </row>
    <row r="39" spans="1:12" ht="30" x14ac:dyDescent="0.2">
      <c r="A39" s="27" t="s">
        <v>102</v>
      </c>
      <c r="B39" s="65">
        <f>+'Entry Required'!B7</f>
        <v>51</v>
      </c>
      <c r="C39" s="60"/>
      <c r="D39" s="60">
        <f t="shared" si="0"/>
        <v>0</v>
      </c>
      <c r="E39" s="7"/>
      <c r="F39" s="10"/>
    </row>
    <row r="40" spans="1:12" ht="30" x14ac:dyDescent="0.2">
      <c r="A40" s="27" t="s">
        <v>134</v>
      </c>
      <c r="B40" s="65">
        <f>+B35</f>
        <v>2205</v>
      </c>
      <c r="C40" s="60">
        <f>+'Entry Required'!B11</f>
        <v>28597283.289999999</v>
      </c>
      <c r="D40" s="60">
        <f t="shared" si="0"/>
        <v>12969.289473922901</v>
      </c>
      <c r="E40" s="7"/>
      <c r="F40" s="71"/>
      <c r="H40" s="238" t="s">
        <v>172</v>
      </c>
      <c r="I40" s="238"/>
      <c r="J40" s="238"/>
      <c r="K40" s="238"/>
      <c r="L40" s="183"/>
    </row>
    <row r="41" spans="1:12" ht="30" x14ac:dyDescent="0.2">
      <c r="A41" s="27" t="s">
        <v>133</v>
      </c>
      <c r="B41" s="65">
        <f>+B35</f>
        <v>2205</v>
      </c>
      <c r="C41" s="60">
        <f>+'Entry Required'!B14</f>
        <v>36887730.789999999</v>
      </c>
      <c r="D41" s="60">
        <f t="shared" si="0"/>
        <v>16729.129609977324</v>
      </c>
      <c r="E41" s="7"/>
      <c r="F41" s="10"/>
    </row>
    <row r="42" spans="1:12" x14ac:dyDescent="0.2">
      <c r="A42" s="41"/>
      <c r="B42" s="59"/>
      <c r="C42" s="60"/>
      <c r="D42" s="60"/>
      <c r="E42" s="7"/>
      <c r="F42" s="10"/>
    </row>
    <row r="43" spans="1:12" ht="15.75" x14ac:dyDescent="0.25">
      <c r="A43" s="42" t="s">
        <v>87</v>
      </c>
      <c r="B43" s="94">
        <f>+B35/(B35+B36)</f>
        <v>0.59659090909090906</v>
      </c>
      <c r="C43" s="35">
        <f>(+C41-C40)/C40</f>
        <v>0.28990332458954354</v>
      </c>
      <c r="D43" s="34">
        <f>+D41-D40</f>
        <v>3759.8401360544231</v>
      </c>
      <c r="E43" s="7"/>
      <c r="F43" s="10"/>
    </row>
    <row r="44" spans="1:12" ht="15.75" x14ac:dyDescent="0.25">
      <c r="A44" s="19"/>
      <c r="B44" s="17" t="s">
        <v>62</v>
      </c>
      <c r="C44" s="18" t="s">
        <v>63</v>
      </c>
      <c r="D44" s="17" t="s">
        <v>64</v>
      </c>
      <c r="E44" s="7"/>
      <c r="F44" s="10"/>
    </row>
    <row r="45" spans="1:12" ht="15.75" thickBot="1" x14ac:dyDescent="0.25">
      <c r="A45" s="20"/>
      <c r="B45" s="64"/>
      <c r="C45" s="13"/>
      <c r="D45" s="64"/>
      <c r="E45" s="13"/>
      <c r="F45" s="14"/>
    </row>
    <row r="46" spans="1:12" ht="15.75" thickBot="1" x14ac:dyDescent="0.25">
      <c r="A46" s="54"/>
      <c r="B46" s="58"/>
      <c r="C46" s="56"/>
      <c r="D46" s="58"/>
      <c r="E46" s="56"/>
      <c r="F46" s="118"/>
    </row>
    <row r="47" spans="1:12" ht="16.5" thickBot="1" x14ac:dyDescent="0.3">
      <c r="A47" s="245" t="s">
        <v>179</v>
      </c>
      <c r="B47" s="248"/>
      <c r="C47" s="248"/>
      <c r="D47" s="248"/>
      <c r="E47" s="248"/>
      <c r="F47" s="249"/>
    </row>
    <row r="48" spans="1:12" ht="15.75" x14ac:dyDescent="0.25">
      <c r="A48" s="21"/>
      <c r="B48" s="171" t="s">
        <v>59</v>
      </c>
      <c r="C48" s="172" t="s">
        <v>65</v>
      </c>
      <c r="D48" s="171" t="s">
        <v>66</v>
      </c>
      <c r="E48" s="172" t="s">
        <v>68</v>
      </c>
      <c r="F48" s="173"/>
    </row>
    <row r="49" spans="1:6" x14ac:dyDescent="0.2">
      <c r="A49" s="43" t="s">
        <v>67</v>
      </c>
      <c r="B49" s="65">
        <f>+'Entry Required'!B3</f>
        <v>2205</v>
      </c>
      <c r="C49" s="60">
        <f>+'Entry Required'!B12</f>
        <v>9455085.9700000007</v>
      </c>
      <c r="D49" s="60">
        <f>+'Entry Required'!B13</f>
        <v>46342816.759999998</v>
      </c>
      <c r="E49" s="60">
        <f>+D49-C49</f>
        <v>36887730.789999999</v>
      </c>
      <c r="F49" s="10"/>
    </row>
    <row r="50" spans="1:6" x14ac:dyDescent="0.2">
      <c r="A50" s="43"/>
      <c r="B50" s="65"/>
      <c r="C50" s="60"/>
      <c r="D50" s="60"/>
      <c r="E50" s="60"/>
      <c r="F50" s="10"/>
    </row>
    <row r="51" spans="1:6" x14ac:dyDescent="0.2">
      <c r="A51" s="39" t="s">
        <v>106</v>
      </c>
      <c r="B51" s="65">
        <f>+'Entry Required'!B15</f>
        <v>122</v>
      </c>
      <c r="C51" s="60">
        <f>+'Entry Required'!B16</f>
        <v>74199.17</v>
      </c>
      <c r="D51" s="8">
        <v>0</v>
      </c>
      <c r="E51" s="28">
        <f>(+D51-C51)*12</f>
        <v>-890390.04</v>
      </c>
      <c r="F51" s="10"/>
    </row>
    <row r="52" spans="1:6" x14ac:dyDescent="0.2">
      <c r="A52" s="39" t="s">
        <v>104</v>
      </c>
      <c r="B52" s="65">
        <f>+'Entry Required'!B17</f>
        <v>199</v>
      </c>
      <c r="C52" s="60">
        <f>+'Entry Required'!B18</f>
        <v>108831</v>
      </c>
      <c r="D52" s="8">
        <v>0</v>
      </c>
      <c r="E52" s="28">
        <f>(+D52-C52)*12</f>
        <v>-1305972</v>
      </c>
      <c r="F52" s="10"/>
    </row>
    <row r="53" spans="1:6" x14ac:dyDescent="0.2">
      <c r="A53" s="39" t="s">
        <v>105</v>
      </c>
      <c r="B53" s="65">
        <f>SUM(B51:B52)</f>
        <v>321</v>
      </c>
      <c r="C53" s="60">
        <f>SUM(C51:C52)</f>
        <v>183030.16999999998</v>
      </c>
      <c r="D53" s="8">
        <f>SUM(D51:D52)</f>
        <v>0</v>
      </c>
      <c r="E53" s="28">
        <f>(+D53-C53)*12</f>
        <v>-2196362.04</v>
      </c>
      <c r="F53" s="10"/>
    </row>
    <row r="54" spans="1:6" ht="15.75" thickBot="1" x14ac:dyDescent="0.25">
      <c r="A54" s="20"/>
      <c r="B54" s="66"/>
      <c r="C54" s="67"/>
      <c r="D54" s="64"/>
      <c r="E54" s="13"/>
      <c r="F54" s="14"/>
    </row>
    <row r="55" spans="1:6" x14ac:dyDescent="0.2">
      <c r="B55" s="68"/>
    </row>
    <row r="56" spans="1:6" x14ac:dyDescent="0.2">
      <c r="B56" s="68"/>
    </row>
    <row r="57" spans="1:6" x14ac:dyDescent="0.2">
      <c r="B57" s="68"/>
    </row>
    <row r="62" spans="1:6" x14ac:dyDescent="0.2">
      <c r="C62" s="45"/>
    </row>
    <row r="63" spans="1:6" x14ac:dyDescent="0.2">
      <c r="C63" s="45"/>
    </row>
    <row r="64" spans="1:6" x14ac:dyDescent="0.2">
      <c r="C64" s="45"/>
    </row>
    <row r="65" spans="2:12" x14ac:dyDescent="0.2">
      <c r="C65" s="45"/>
    </row>
    <row r="66" spans="2:12" x14ac:dyDescent="0.2">
      <c r="C66" s="45"/>
    </row>
    <row r="67" spans="2:12" x14ac:dyDescent="0.2">
      <c r="C67" s="45"/>
    </row>
    <row r="68" spans="2:12" x14ac:dyDescent="0.2">
      <c r="C68" s="45"/>
    </row>
    <row r="69" spans="2:12" x14ac:dyDescent="0.2">
      <c r="F69" s="3"/>
      <c r="G69" s="3"/>
      <c r="H69" s="3"/>
      <c r="I69" s="3"/>
      <c r="J69" s="3"/>
      <c r="K69" s="3"/>
      <c r="L69" s="3"/>
    </row>
    <row r="73" spans="2:12" x14ac:dyDescent="0.2">
      <c r="B73" s="69"/>
    </row>
    <row r="74" spans="2:12" x14ac:dyDescent="0.2">
      <c r="B74" s="69"/>
    </row>
    <row r="75" spans="2:12" x14ac:dyDescent="0.2">
      <c r="B75" s="70"/>
    </row>
    <row r="76" spans="2:12" x14ac:dyDescent="0.2">
      <c r="B76" s="69"/>
    </row>
    <row r="77" spans="2:12" x14ac:dyDescent="0.2">
      <c r="F77" s="3"/>
      <c r="G77" s="3"/>
      <c r="H77" s="3"/>
      <c r="I77" s="3"/>
      <c r="J77" s="3"/>
      <c r="K77" s="3"/>
      <c r="L77" s="3"/>
    </row>
    <row r="78" spans="2:12" x14ac:dyDescent="0.2">
      <c r="F78" s="3"/>
      <c r="G78" s="3"/>
      <c r="H78" s="3"/>
      <c r="I78" s="3"/>
      <c r="J78" s="3"/>
      <c r="K78" s="3"/>
      <c r="L78" s="3"/>
    </row>
  </sheetData>
  <mergeCells count="8">
    <mergeCell ref="H40:K40"/>
    <mergeCell ref="A1:F1"/>
    <mergeCell ref="A2:F2"/>
    <mergeCell ref="A33:F33"/>
    <mergeCell ref="A47:F47"/>
    <mergeCell ref="C21:F21"/>
    <mergeCell ref="A18:F18"/>
    <mergeCell ref="A20:F20"/>
  </mergeCells>
  <phoneticPr fontId="2" type="noConversion"/>
  <printOptions horizontalCentered="1" verticalCentered="1"/>
  <pageMargins left="0.15" right="0.15" top="0.15" bottom="0.15" header="0.15" footer="0.15"/>
  <pageSetup scale="7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7"/>
  <sheetViews>
    <sheetView view="pageBreakPreview" zoomScaleNormal="90" workbookViewId="0">
      <selection sqref="A1:F1"/>
    </sheetView>
  </sheetViews>
  <sheetFormatPr defaultRowHeight="15" x14ac:dyDescent="0.2"/>
  <cols>
    <col min="1" max="1" width="30.21875" customWidth="1"/>
    <col min="2" max="2" width="16" style="48" customWidth="1"/>
    <col min="3" max="3" width="12.77734375" style="3" bestFit="1" customWidth="1"/>
    <col min="4" max="4" width="12.44140625" style="48" bestFit="1" customWidth="1"/>
    <col min="5" max="5" width="13.44140625" style="3" bestFit="1" customWidth="1"/>
    <col min="6" max="6" width="12" style="2" bestFit="1" customWidth="1"/>
  </cols>
  <sheetData>
    <row r="1" spans="1:6" ht="36" thickBot="1" x14ac:dyDescent="0.55000000000000004">
      <c r="A1" s="235" t="s">
        <v>94</v>
      </c>
      <c r="B1" s="236"/>
      <c r="C1" s="236"/>
      <c r="D1" s="236"/>
      <c r="E1" s="236"/>
      <c r="F1" s="237"/>
    </row>
    <row r="2" spans="1:6" ht="16.5" thickBot="1" x14ac:dyDescent="0.3">
      <c r="A2" s="245" t="s">
        <v>109</v>
      </c>
      <c r="B2" s="248"/>
      <c r="C2" s="248"/>
      <c r="D2" s="248"/>
      <c r="E2" s="248"/>
      <c r="F2" s="249"/>
    </row>
    <row r="3" spans="1:6" ht="48" thickBot="1" x14ac:dyDescent="0.3">
      <c r="A3" s="77" t="s">
        <v>71</v>
      </c>
      <c r="B3" s="76"/>
      <c r="C3" s="76"/>
      <c r="D3" s="154" t="s">
        <v>72</v>
      </c>
      <c r="E3" s="166"/>
      <c r="F3" s="78"/>
    </row>
    <row r="4" spans="1:6" ht="15.75" thickTop="1" x14ac:dyDescent="0.2">
      <c r="A4" s="79" t="s">
        <v>107</v>
      </c>
      <c r="B4" s="72"/>
      <c r="C4" s="74"/>
      <c r="D4" s="149">
        <f>+'ROI Cash Rec''d State Portion '!D39</f>
        <v>2519.4908344671203</v>
      </c>
      <c r="E4" s="84"/>
      <c r="F4" s="80"/>
    </row>
    <row r="5" spans="1:6" ht="16.5" thickBot="1" x14ac:dyDescent="0.3">
      <c r="A5" s="81" t="s">
        <v>73</v>
      </c>
      <c r="B5" s="73"/>
      <c r="C5" s="75"/>
      <c r="D5" s="155">
        <f>+D4</f>
        <v>2519.4908344671203</v>
      </c>
      <c r="E5" s="167"/>
      <c r="F5" s="82"/>
    </row>
    <row r="6" spans="1:6" ht="15.75" thickTop="1" x14ac:dyDescent="0.2">
      <c r="A6" s="54"/>
      <c r="B6" s="83"/>
      <c r="C6" s="84"/>
      <c r="D6" s="84"/>
      <c r="E6" s="84"/>
      <c r="F6" s="80"/>
    </row>
    <row r="7" spans="1:6" x14ac:dyDescent="0.2">
      <c r="A7" s="54"/>
      <c r="B7" s="83"/>
      <c r="C7" s="84"/>
      <c r="D7" s="84"/>
      <c r="E7" s="84"/>
      <c r="F7" s="80"/>
    </row>
    <row r="8" spans="1:6" ht="32.25" thickBot="1" x14ac:dyDescent="0.3">
      <c r="A8" s="81" t="s">
        <v>108</v>
      </c>
      <c r="B8" s="73"/>
      <c r="C8" s="156" t="s">
        <v>75</v>
      </c>
      <c r="D8" s="152" t="s">
        <v>95</v>
      </c>
      <c r="E8" s="156" t="s">
        <v>96</v>
      </c>
      <c r="F8" s="89"/>
    </row>
    <row r="9" spans="1:6" ht="16.5" thickTop="1" thickBot="1" x14ac:dyDescent="0.25">
      <c r="A9" s="90" t="s">
        <v>78</v>
      </c>
      <c r="B9" s="91"/>
      <c r="C9" s="157">
        <f>+'Discount Rates'!B25</f>
        <v>16729.129609977324</v>
      </c>
      <c r="D9" s="92">
        <f>+'Discount Rates'!K25</f>
        <v>125723.29433922112</v>
      </c>
      <c r="E9" s="157">
        <f>+'Discount Rates'!AE25</f>
        <v>222123.93037502494</v>
      </c>
      <c r="F9" s="93"/>
    </row>
    <row r="10" spans="1:6" ht="15.75" thickTop="1" x14ac:dyDescent="0.2">
      <c r="A10" s="54"/>
      <c r="B10" s="83"/>
      <c r="C10" s="84"/>
      <c r="D10" s="84"/>
      <c r="E10" s="84"/>
      <c r="F10" s="80"/>
    </row>
    <row r="11" spans="1:6" ht="32.25" thickBot="1" x14ac:dyDescent="0.3">
      <c r="A11" s="81" t="s">
        <v>111</v>
      </c>
      <c r="B11" s="73"/>
      <c r="C11" s="156" t="str">
        <f>+C8</f>
        <v>Annual</v>
      </c>
      <c r="D11" s="152" t="str">
        <f>+D8</f>
        <v>10-Year            Work Life</v>
      </c>
      <c r="E11" s="156" t="str">
        <f>+E8</f>
        <v>30-Year         Work Life</v>
      </c>
      <c r="F11" s="89"/>
    </row>
    <row r="12" spans="1:6" ht="15.75" thickTop="1" x14ac:dyDescent="0.2">
      <c r="A12" s="54" t="s">
        <v>186</v>
      </c>
      <c r="B12" s="83"/>
      <c r="C12" s="158">
        <f>+'Discount Rates'!B100/'ROI Cash Rec''d State Portion '!B34</f>
        <v>1023.8227321306121</v>
      </c>
      <c r="D12" s="84">
        <f>+'Discount Rates'!K100/'ROI Cash Rec''d State Portion '!B39</f>
        <v>7694.2656135603329</v>
      </c>
      <c r="E12" s="158">
        <f>+'Discount Rates'!AE100/'ROI Cash Rec''d State Portion '!B39</f>
        <v>13593.984538951529</v>
      </c>
      <c r="F12" s="80"/>
    </row>
    <row r="13" spans="1:6" x14ac:dyDescent="0.2">
      <c r="A13" s="54" t="s">
        <v>110</v>
      </c>
      <c r="B13" s="83"/>
      <c r="C13" s="158">
        <f>+'Discount Rates'!B70/'ROI Cash Rec''d State Portion '!B39</f>
        <v>403.8050068027211</v>
      </c>
      <c r="D13" s="84">
        <f>+'Discount Rates'!K70/'ROI Cash Rec''d State Portion '!B39</f>
        <v>3034.6884093498579</v>
      </c>
      <c r="E13" s="158">
        <f>+'Discount Rates'!AE70/'ROI Cash Rec''d State Portion '!B39</f>
        <v>5361.5912666872846</v>
      </c>
      <c r="F13" s="80"/>
    </row>
    <row r="14" spans="1:6" ht="16.5" thickBot="1" x14ac:dyDescent="0.3">
      <c r="A14" s="81" t="s">
        <v>112</v>
      </c>
      <c r="B14" s="73"/>
      <c r="C14" s="155">
        <f>SUM(C12:C13)</f>
        <v>1427.6277389333331</v>
      </c>
      <c r="D14" s="75">
        <f>SUM(D12:D13)</f>
        <v>10728.954022910191</v>
      </c>
      <c r="E14" s="155">
        <f>SUM(E12:E13)</f>
        <v>18955.575805638815</v>
      </c>
      <c r="F14" s="85"/>
    </row>
    <row r="15" spans="1:6" ht="17.25" thickTop="1" thickBot="1" x14ac:dyDescent="0.3">
      <c r="A15" s="188"/>
      <c r="B15" s="189"/>
      <c r="C15" s="190"/>
      <c r="D15" s="191"/>
      <c r="E15" s="190"/>
      <c r="F15" s="192"/>
    </row>
    <row r="16" spans="1:6" ht="17.25" thickTop="1" thickBot="1" x14ac:dyDescent="0.3">
      <c r="A16" s="86" t="s">
        <v>3</v>
      </c>
      <c r="B16" s="87"/>
      <c r="C16" s="159">
        <f>(+C14-$D$5)/$D$5</f>
        <v>-0.43336656779889393</v>
      </c>
      <c r="D16" s="88">
        <f>(+D14-$D$5)/$D$5</f>
        <v>3.2583818429247815</v>
      </c>
      <c r="E16" s="177">
        <f>(+E14-$D$5)/$D$5</f>
        <v>6.5235740278642353</v>
      </c>
      <c r="F16" s="100"/>
    </row>
    <row r="17" spans="1:6" ht="15.75" thickBot="1" x14ac:dyDescent="0.25">
      <c r="A17" s="54"/>
      <c r="B17" s="58"/>
      <c r="C17" s="56"/>
      <c r="D17" s="58"/>
      <c r="E17" s="56"/>
      <c r="F17" s="118"/>
    </row>
    <row r="18" spans="1:6" ht="20.25" thickBot="1" x14ac:dyDescent="0.35">
      <c r="A18" s="256" t="s">
        <v>176</v>
      </c>
      <c r="B18" s="257"/>
      <c r="C18" s="257"/>
      <c r="D18" s="257"/>
      <c r="E18" s="257"/>
      <c r="F18" s="258"/>
    </row>
    <row r="19" spans="1:6" ht="15.75" thickBot="1" x14ac:dyDescent="0.25">
      <c r="A19" s="54"/>
      <c r="B19" s="58"/>
      <c r="C19" s="56"/>
      <c r="D19" s="58"/>
      <c r="E19" s="56"/>
      <c r="F19" s="118"/>
    </row>
    <row r="20" spans="1:6" ht="16.5" thickBot="1" x14ac:dyDescent="0.3">
      <c r="A20" s="245" t="s">
        <v>180</v>
      </c>
      <c r="B20" s="248"/>
      <c r="C20" s="248"/>
      <c r="D20" s="248"/>
      <c r="E20" s="248"/>
      <c r="F20" s="249"/>
    </row>
    <row r="21" spans="1:6" ht="15.75" thickBot="1" x14ac:dyDescent="0.25">
      <c r="A21" s="21"/>
      <c r="B21" s="147"/>
      <c r="C21" s="250" t="s">
        <v>56</v>
      </c>
      <c r="D21" s="251"/>
      <c r="E21" s="251"/>
      <c r="F21" s="252"/>
    </row>
    <row r="22" spans="1:6" ht="15.75" thickBot="1" x14ac:dyDescent="0.25">
      <c r="A22" s="9"/>
      <c r="B22" s="148" t="s">
        <v>18</v>
      </c>
      <c r="C22" s="184" t="s">
        <v>19</v>
      </c>
      <c r="D22" s="185" t="s">
        <v>20</v>
      </c>
      <c r="E22" s="186" t="s">
        <v>21</v>
      </c>
      <c r="F22" s="187" t="s">
        <v>54</v>
      </c>
    </row>
    <row r="23" spans="1:6" ht="30" x14ac:dyDescent="0.2">
      <c r="A23" s="39" t="s">
        <v>113</v>
      </c>
      <c r="B23" s="60">
        <f>+'Discount Rates'!B70</f>
        <v>890390.04</v>
      </c>
      <c r="C23" s="174">
        <f>+'Discount Rates'!D70</f>
        <v>2500231.4085037992</v>
      </c>
      <c r="D23" s="174">
        <f>+'Discount Rates'!F70</f>
        <v>3906329.2061313642</v>
      </c>
      <c r="E23" s="175">
        <f>+'Discount Rates'!K70</f>
        <v>6691487.9426164366</v>
      </c>
      <c r="F23" s="176">
        <f>+'Discount Rates'!AE70</f>
        <v>11822308.743045462</v>
      </c>
    </row>
    <row r="24" spans="1:6" ht="30" x14ac:dyDescent="0.2">
      <c r="A24" s="39" t="s">
        <v>187</v>
      </c>
      <c r="B24" s="60">
        <f>+'Discount Rates'!B99</f>
        <v>2257529.1243479997</v>
      </c>
      <c r="C24" s="60">
        <f>+'Discount Rates'!D100</f>
        <v>6339182.7948872251</v>
      </c>
      <c r="D24" s="60">
        <f>+'Discount Rates'!F100</f>
        <v>9904257.1861346923</v>
      </c>
      <c r="E24" s="60">
        <f>+'Discount Rates'!K100</f>
        <v>16965855.677900534</v>
      </c>
      <c r="F24" s="63">
        <f>+'Discount Rates'!AE100</f>
        <v>29974735.908388119</v>
      </c>
    </row>
    <row r="25" spans="1:6" x14ac:dyDescent="0.2">
      <c r="A25" s="39" t="s">
        <v>22</v>
      </c>
      <c r="B25" s="60">
        <f>SUM(B23:B24)</f>
        <v>3147919.1643479997</v>
      </c>
      <c r="C25" s="60">
        <f>SUM(C23:C24)</f>
        <v>8839414.2033910248</v>
      </c>
      <c r="D25" s="60">
        <f>SUM(D23:D24)</f>
        <v>13810586.392266057</v>
      </c>
      <c r="E25" s="60">
        <f>SUM(E23:E24)</f>
        <v>23657343.620516971</v>
      </c>
      <c r="F25" s="63">
        <f>SUM(F23:F24)</f>
        <v>41797044.65143358</v>
      </c>
    </row>
    <row r="26" spans="1:6" ht="18" customHeight="1" x14ac:dyDescent="0.2">
      <c r="A26" s="39" t="s">
        <v>114</v>
      </c>
      <c r="B26" s="60">
        <f>+C39</f>
        <v>5555477.29</v>
      </c>
      <c r="C26" s="60">
        <f>+B26</f>
        <v>5555477.29</v>
      </c>
      <c r="D26" s="60">
        <f>+B26</f>
        <v>5555477.29</v>
      </c>
      <c r="E26" s="61">
        <f>+B26</f>
        <v>5555477.29</v>
      </c>
      <c r="F26" s="63">
        <f>+C26</f>
        <v>5555477.29</v>
      </c>
    </row>
    <row r="27" spans="1:6" ht="30" x14ac:dyDescent="0.2">
      <c r="A27" s="39" t="s">
        <v>115</v>
      </c>
      <c r="B27" s="30">
        <f>-B26+B25</f>
        <v>-2407558.1256520003</v>
      </c>
      <c r="C27" s="30">
        <f>-C26+C25</f>
        <v>3283936.9133910248</v>
      </c>
      <c r="D27" s="30">
        <f>-D26+D25</f>
        <v>8255109.1022660574</v>
      </c>
      <c r="E27" s="50">
        <f>-E26+E25</f>
        <v>18101866.330516972</v>
      </c>
      <c r="F27" s="31">
        <f>-F26+F25</f>
        <v>36241567.361433581</v>
      </c>
    </row>
    <row r="28" spans="1:6" ht="15.75" x14ac:dyDescent="0.25">
      <c r="A28" s="40" t="s">
        <v>24</v>
      </c>
      <c r="B28" s="36">
        <f>100*(B27/B26)</f>
        <v>-43.336656779889388</v>
      </c>
      <c r="C28" s="36">
        <f>100*(C27/C26)</f>
        <v>59.11169719480619</v>
      </c>
      <c r="D28" s="36">
        <f>100*(D27/D26)</f>
        <v>148.5940572041481</v>
      </c>
      <c r="E28" s="51">
        <f>100*(E27/E26)</f>
        <v>325.83818429247816</v>
      </c>
      <c r="F28" s="33">
        <f>100*(F27/F26)</f>
        <v>652.35740278642345</v>
      </c>
    </row>
    <row r="29" spans="1:6" ht="15.75" x14ac:dyDescent="0.25">
      <c r="A29" s="40" t="s">
        <v>25</v>
      </c>
      <c r="B29" s="36">
        <f>+B27/2146</f>
        <v>-1121.8816988126748</v>
      </c>
      <c r="C29" s="36">
        <f>+C27/2146</f>
        <v>1530.2595122977748</v>
      </c>
      <c r="D29" s="36">
        <f>+D27/2146</f>
        <v>3846.7423589310611</v>
      </c>
      <c r="E29" s="51">
        <f>+E27/2146</f>
        <v>8435.1660440433225</v>
      </c>
      <c r="F29" s="33">
        <f>+F27/2146</f>
        <v>16887.962423780791</v>
      </c>
    </row>
    <row r="30" spans="1:6" ht="15.75" thickBot="1" x14ac:dyDescent="0.25">
      <c r="A30" s="11"/>
      <c r="B30" s="13"/>
      <c r="C30" s="64"/>
      <c r="D30" s="13"/>
      <c r="E30" s="52"/>
      <c r="F30" s="53"/>
    </row>
    <row r="31" spans="1:6" ht="15.75" thickBot="1" x14ac:dyDescent="0.25">
      <c r="A31" s="119"/>
      <c r="B31" s="58"/>
      <c r="C31" s="56"/>
      <c r="D31" s="58"/>
      <c r="E31" s="56"/>
      <c r="F31" s="118"/>
    </row>
    <row r="32" spans="1:6" ht="16.5" thickBot="1" x14ac:dyDescent="0.3">
      <c r="A32" s="245" t="s">
        <v>181</v>
      </c>
      <c r="B32" s="246"/>
      <c r="C32" s="246"/>
      <c r="D32" s="246"/>
      <c r="E32" s="246"/>
      <c r="F32" s="247"/>
    </row>
    <row r="33" spans="1:11" ht="15.75" x14ac:dyDescent="0.25">
      <c r="A33" s="22"/>
      <c r="B33" s="23" t="s">
        <v>59</v>
      </c>
      <c r="C33" s="23" t="s">
        <v>60</v>
      </c>
      <c r="D33" s="23" t="s">
        <v>61</v>
      </c>
      <c r="E33" s="23"/>
      <c r="F33" s="24"/>
    </row>
    <row r="34" spans="1:11" ht="30" x14ac:dyDescent="0.2">
      <c r="A34" s="27" t="s">
        <v>98</v>
      </c>
      <c r="B34" s="65">
        <f>+'Entry Required'!B3</f>
        <v>2205</v>
      </c>
      <c r="C34" s="60"/>
      <c r="D34" s="60">
        <f t="shared" ref="D34:D40" si="0">+C34/B34</f>
        <v>0</v>
      </c>
      <c r="E34" s="7"/>
      <c r="F34" s="10"/>
    </row>
    <row r="35" spans="1:11" ht="30" x14ac:dyDescent="0.2">
      <c r="A35" s="27" t="s">
        <v>99</v>
      </c>
      <c r="B35" s="65">
        <f>+'Entry Required'!B4</f>
        <v>1491</v>
      </c>
      <c r="C35" s="60"/>
      <c r="D35" s="60">
        <f t="shared" si="0"/>
        <v>0</v>
      </c>
      <c r="E35" s="7"/>
      <c r="F35" s="10"/>
    </row>
    <row r="36" spans="1:11" ht="30" x14ac:dyDescent="0.2">
      <c r="A36" s="27" t="s">
        <v>100</v>
      </c>
      <c r="B36" s="65">
        <f>+'Entry Required'!B5</f>
        <v>302</v>
      </c>
      <c r="C36" s="60"/>
      <c r="D36" s="60">
        <f t="shared" si="0"/>
        <v>0</v>
      </c>
      <c r="E36" s="7"/>
      <c r="F36" s="10"/>
    </row>
    <row r="37" spans="1:11" ht="30" x14ac:dyDescent="0.2">
      <c r="A37" s="27" t="s">
        <v>101</v>
      </c>
      <c r="B37" s="65">
        <f>+'Entry Required'!B6</f>
        <v>1672</v>
      </c>
      <c r="C37" s="60"/>
      <c r="D37" s="60">
        <f t="shared" si="0"/>
        <v>0</v>
      </c>
      <c r="E37" s="7"/>
      <c r="F37" s="10"/>
    </row>
    <row r="38" spans="1:11" ht="30" x14ac:dyDescent="0.2">
      <c r="A38" s="27" t="s">
        <v>102</v>
      </c>
      <c r="B38" s="65">
        <f>+'Entry Required'!B7</f>
        <v>51</v>
      </c>
      <c r="C38" s="60"/>
      <c r="D38" s="60">
        <f t="shared" si="0"/>
        <v>0</v>
      </c>
      <c r="E38" s="7"/>
      <c r="F38" s="10"/>
      <c r="H38" s="238" t="s">
        <v>172</v>
      </c>
      <c r="I38" s="238"/>
      <c r="J38" s="238"/>
      <c r="K38" s="238"/>
    </row>
    <row r="39" spans="1:11" ht="15" customHeight="1" x14ac:dyDescent="0.2">
      <c r="A39" s="27" t="s">
        <v>116</v>
      </c>
      <c r="B39" s="65">
        <f>+B34</f>
        <v>2205</v>
      </c>
      <c r="C39" s="60">
        <f>+'Entry Required'!B10</f>
        <v>5555477.29</v>
      </c>
      <c r="D39" s="60">
        <f t="shared" si="0"/>
        <v>2519.4908344671203</v>
      </c>
      <c r="E39" s="7"/>
      <c r="F39" s="71"/>
    </row>
    <row r="40" spans="1:11" ht="30" x14ac:dyDescent="0.2">
      <c r="A40" s="27" t="s">
        <v>103</v>
      </c>
      <c r="B40" s="65">
        <f>+B34</f>
        <v>2205</v>
      </c>
      <c r="C40" s="60">
        <f>+E48</f>
        <v>36887730.789999999</v>
      </c>
      <c r="D40" s="60">
        <f t="shared" si="0"/>
        <v>16729.129609977324</v>
      </c>
      <c r="E40" s="7"/>
      <c r="F40" s="10"/>
    </row>
    <row r="41" spans="1:11" x14ac:dyDescent="0.2">
      <c r="A41" s="41"/>
      <c r="B41" s="59"/>
      <c r="C41" s="60"/>
      <c r="D41" s="60"/>
      <c r="E41" s="7"/>
      <c r="F41" s="10"/>
    </row>
    <row r="42" spans="1:11" ht="15.75" x14ac:dyDescent="0.25">
      <c r="A42" s="42" t="s">
        <v>87</v>
      </c>
      <c r="B42" s="94">
        <f>+B34/(+B35+B34)</f>
        <v>0.59659090909090906</v>
      </c>
      <c r="C42" s="35">
        <f>(+C40-C39)/C39</f>
        <v>5.6398850835730805</v>
      </c>
      <c r="D42" s="34">
        <f>+D40-D39</f>
        <v>14209.638775510204</v>
      </c>
      <c r="E42" s="7"/>
      <c r="F42" s="10"/>
    </row>
    <row r="43" spans="1:11" ht="15.75" x14ac:dyDescent="0.25">
      <c r="A43" s="19"/>
      <c r="B43" s="17" t="s">
        <v>62</v>
      </c>
      <c r="C43" s="18" t="s">
        <v>63</v>
      </c>
      <c r="D43" s="17" t="s">
        <v>64</v>
      </c>
      <c r="E43" s="7"/>
      <c r="F43" s="10"/>
    </row>
    <row r="44" spans="1:11" ht="15.75" thickBot="1" x14ac:dyDescent="0.25">
      <c r="A44" s="20"/>
      <c r="B44" s="64"/>
      <c r="C44" s="13"/>
      <c r="D44" s="64"/>
      <c r="E44" s="13"/>
      <c r="F44" s="14"/>
    </row>
    <row r="45" spans="1:11" ht="15.75" thickBot="1" x14ac:dyDescent="0.25">
      <c r="A45" s="54"/>
      <c r="B45" s="58"/>
      <c r="C45" s="56"/>
      <c r="D45" s="58"/>
      <c r="E45" s="56"/>
      <c r="F45" s="118"/>
    </row>
    <row r="46" spans="1:11" ht="16.5" thickBot="1" x14ac:dyDescent="0.3">
      <c r="A46" s="245" t="s">
        <v>179</v>
      </c>
      <c r="B46" s="248"/>
      <c r="C46" s="248"/>
      <c r="D46" s="248"/>
      <c r="E46" s="248"/>
      <c r="F46" s="249"/>
    </row>
    <row r="47" spans="1:11" ht="15.75" x14ac:dyDescent="0.25">
      <c r="A47" s="21"/>
      <c r="B47" s="171" t="s">
        <v>59</v>
      </c>
      <c r="C47" s="172" t="s">
        <v>65</v>
      </c>
      <c r="D47" s="171" t="s">
        <v>66</v>
      </c>
      <c r="E47" s="172" t="s">
        <v>68</v>
      </c>
      <c r="F47" s="173"/>
    </row>
    <row r="48" spans="1:11" x14ac:dyDescent="0.2">
      <c r="A48" s="43" t="s">
        <v>67</v>
      </c>
      <c r="B48" s="65">
        <f>+'Entry Required'!B3</f>
        <v>2205</v>
      </c>
      <c r="C48" s="60">
        <f>+'Entry Required'!B12</f>
        <v>9455085.9700000007</v>
      </c>
      <c r="D48" s="60">
        <f>+'Entry Required'!B13</f>
        <v>46342816.759999998</v>
      </c>
      <c r="E48" s="60">
        <f>+D48-C48</f>
        <v>36887730.789999999</v>
      </c>
      <c r="F48" s="10"/>
    </row>
    <row r="49" spans="1:6" x14ac:dyDescent="0.2">
      <c r="A49" s="43"/>
      <c r="B49" s="65"/>
      <c r="C49" s="60"/>
      <c r="D49" s="60"/>
      <c r="E49" s="60"/>
      <c r="F49" s="10"/>
    </row>
    <row r="50" spans="1:6" x14ac:dyDescent="0.2">
      <c r="A50" s="39" t="s">
        <v>106</v>
      </c>
      <c r="B50" s="65">
        <f>+'Entry Required'!B15</f>
        <v>122</v>
      </c>
      <c r="C50" s="60">
        <f>+'Entry Required'!B16</f>
        <v>74199.17</v>
      </c>
      <c r="D50" s="8">
        <v>0</v>
      </c>
      <c r="E50" s="28">
        <f>(+D50-C50)*12</f>
        <v>-890390.04</v>
      </c>
      <c r="F50" s="10"/>
    </row>
    <row r="51" spans="1:6" x14ac:dyDescent="0.2">
      <c r="A51" s="39" t="s">
        <v>104</v>
      </c>
      <c r="B51" s="65">
        <f>+'Entry Required'!B17</f>
        <v>199</v>
      </c>
      <c r="C51" s="60">
        <f>+'Entry Required'!B18</f>
        <v>108831</v>
      </c>
      <c r="D51" s="8">
        <v>0</v>
      </c>
      <c r="E51" s="28">
        <f>(+D51-C51)*12</f>
        <v>-1305972</v>
      </c>
      <c r="F51" s="10"/>
    </row>
    <row r="52" spans="1:6" ht="15.75" thickBot="1" x14ac:dyDescent="0.25">
      <c r="A52" s="39" t="s">
        <v>105</v>
      </c>
      <c r="B52" s="66">
        <f>SUM(B50:B51)</f>
        <v>321</v>
      </c>
      <c r="C52" s="67">
        <f>SUM(C50:C51)</f>
        <v>183030.16999999998</v>
      </c>
      <c r="D52" s="120">
        <f>SUM(D50:D51)</f>
        <v>0</v>
      </c>
      <c r="E52" s="121">
        <f>(+D52-C52)*12</f>
        <v>-2196362.04</v>
      </c>
      <c r="F52" s="14"/>
    </row>
    <row r="53" spans="1:6" ht="15.75" thickBot="1" x14ac:dyDescent="0.25">
      <c r="A53" s="112"/>
      <c r="B53" s="178"/>
      <c r="C53" s="179"/>
      <c r="D53" s="180"/>
      <c r="E53" s="116"/>
      <c r="F53" s="117"/>
    </row>
    <row r="54" spans="1:6" x14ac:dyDescent="0.2">
      <c r="B54" s="68"/>
    </row>
    <row r="55" spans="1:6" x14ac:dyDescent="0.2">
      <c r="B55" s="68"/>
    </row>
    <row r="56" spans="1:6" x14ac:dyDescent="0.2">
      <c r="B56" s="68"/>
    </row>
    <row r="61" spans="1:6" x14ac:dyDescent="0.2">
      <c r="C61" s="45"/>
    </row>
    <row r="62" spans="1:6" x14ac:dyDescent="0.2">
      <c r="C62" s="45"/>
    </row>
    <row r="63" spans="1:6" x14ac:dyDescent="0.2">
      <c r="C63" s="45"/>
    </row>
    <row r="64" spans="1:6" x14ac:dyDescent="0.2">
      <c r="C64" s="45"/>
    </row>
    <row r="65" spans="2:12" x14ac:dyDescent="0.2">
      <c r="C65" s="45"/>
    </row>
    <row r="66" spans="2:12" x14ac:dyDescent="0.2">
      <c r="C66" s="45"/>
    </row>
    <row r="67" spans="2:12" x14ac:dyDescent="0.2">
      <c r="C67" s="45"/>
    </row>
    <row r="68" spans="2:12" x14ac:dyDescent="0.2">
      <c r="F68" s="3"/>
      <c r="G68" s="3"/>
      <c r="H68" s="3"/>
      <c r="I68" s="3"/>
      <c r="J68" s="3"/>
      <c r="K68" s="3"/>
      <c r="L68" s="3"/>
    </row>
    <row r="72" spans="2:12" x14ac:dyDescent="0.2">
      <c r="B72" s="69"/>
    </row>
    <row r="73" spans="2:12" x14ac:dyDescent="0.2">
      <c r="B73" s="69"/>
    </row>
    <row r="74" spans="2:12" x14ac:dyDescent="0.2">
      <c r="B74" s="70"/>
    </row>
    <row r="75" spans="2:12" x14ac:dyDescent="0.2">
      <c r="B75" s="69"/>
    </row>
    <row r="76" spans="2:12" x14ac:dyDescent="0.2">
      <c r="F76" s="3"/>
      <c r="G76" s="3"/>
      <c r="H76" s="3"/>
      <c r="I76" s="3"/>
      <c r="J76" s="3"/>
      <c r="K76" s="3"/>
      <c r="L76" s="3"/>
    </row>
    <row r="77" spans="2:12" x14ac:dyDescent="0.2">
      <c r="F77" s="3"/>
      <c r="G77" s="3"/>
      <c r="H77" s="3"/>
      <c r="I77" s="3"/>
      <c r="J77" s="3"/>
      <c r="K77" s="3"/>
      <c r="L77" s="3"/>
    </row>
  </sheetData>
  <mergeCells count="8">
    <mergeCell ref="A1:F1"/>
    <mergeCell ref="A2:F2"/>
    <mergeCell ref="A32:F32"/>
    <mergeCell ref="H38:K38"/>
    <mergeCell ref="A46:F46"/>
    <mergeCell ref="C21:F21"/>
    <mergeCell ref="A18:F18"/>
    <mergeCell ref="A20:F20"/>
  </mergeCells>
  <phoneticPr fontId="2" type="noConversion"/>
  <printOptions horizontalCentered="1" verticalCentered="1"/>
  <pageMargins left="0.15" right="0.15" top="0.15" bottom="0.15" header="0.15" footer="0.15"/>
  <pageSetup scale="74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view="pageBreakPreview" topLeftCell="A37" zoomScaleNormal="90" workbookViewId="0">
      <selection activeCell="C43" sqref="C43"/>
    </sheetView>
  </sheetViews>
  <sheetFormatPr defaultRowHeight="15" x14ac:dyDescent="0.2"/>
  <cols>
    <col min="1" max="1" width="30.21875" customWidth="1"/>
    <col min="2" max="2" width="15.33203125" style="1" bestFit="1" customWidth="1"/>
    <col min="3" max="3" width="13.77734375" style="3" customWidth="1"/>
    <col min="4" max="4" width="13.6640625" style="1" customWidth="1"/>
    <col min="5" max="5" width="14.5546875" style="3" bestFit="1" customWidth="1"/>
    <col min="6" max="6" width="15.44140625" style="2" customWidth="1"/>
  </cols>
  <sheetData>
    <row r="1" spans="1:6" ht="54" customHeight="1" thickBot="1" x14ac:dyDescent="0.25">
      <c r="A1" s="265" t="s">
        <v>117</v>
      </c>
      <c r="B1" s="266"/>
      <c r="C1" s="266"/>
      <c r="D1" s="266"/>
      <c r="E1" s="266"/>
      <c r="F1" s="267"/>
    </row>
    <row r="2" spans="1:6" ht="21" thickBot="1" x14ac:dyDescent="0.35">
      <c r="A2" s="262" t="s">
        <v>182</v>
      </c>
      <c r="B2" s="263"/>
      <c r="C2" s="263"/>
      <c r="D2" s="263"/>
      <c r="E2" s="263"/>
      <c r="F2" s="264"/>
    </row>
    <row r="3" spans="1:6" ht="16.5" thickBot="1" x14ac:dyDescent="0.3">
      <c r="A3" s="245" t="s">
        <v>118</v>
      </c>
      <c r="B3" s="248"/>
      <c r="C3" s="248"/>
      <c r="D3" s="248"/>
      <c r="E3" s="248"/>
      <c r="F3" s="249"/>
    </row>
    <row r="4" spans="1:6" ht="48" thickBot="1" x14ac:dyDescent="0.3">
      <c r="A4" s="125" t="s">
        <v>71</v>
      </c>
      <c r="B4" s="126"/>
      <c r="C4" s="127"/>
      <c r="D4" s="193" t="s">
        <v>72</v>
      </c>
      <c r="E4" s="127"/>
      <c r="F4" s="128"/>
    </row>
    <row r="5" spans="1:6" ht="17.25" thickTop="1" thickBot="1" x14ac:dyDescent="0.3">
      <c r="A5" s="77" t="s">
        <v>97</v>
      </c>
      <c r="B5" s="122"/>
      <c r="C5" s="123"/>
      <c r="D5" s="181">
        <f>+D44</f>
        <v>4370.408669446153</v>
      </c>
      <c r="E5" s="123"/>
      <c r="F5" s="124"/>
    </row>
    <row r="6" spans="1:6" ht="15.75" thickTop="1" x14ac:dyDescent="0.2">
      <c r="A6" s="54"/>
      <c r="B6" s="55"/>
      <c r="C6" s="56"/>
      <c r="D6" s="55"/>
      <c r="E6" s="56"/>
      <c r="F6" s="118"/>
    </row>
    <row r="7" spans="1:6" x14ac:dyDescent="0.2">
      <c r="A7" s="79"/>
      <c r="B7" s="129"/>
      <c r="C7" s="130"/>
      <c r="D7" s="129"/>
      <c r="E7" s="130"/>
      <c r="F7" s="131"/>
    </row>
    <row r="8" spans="1:6" ht="32.25" thickBot="1" x14ac:dyDescent="0.3">
      <c r="A8" s="133" t="s">
        <v>119</v>
      </c>
      <c r="B8" s="134"/>
      <c r="C8" s="139" t="s">
        <v>75</v>
      </c>
      <c r="D8" s="135" t="s">
        <v>90</v>
      </c>
      <c r="E8" s="136" t="s">
        <v>91</v>
      </c>
      <c r="F8" s="137"/>
    </row>
    <row r="9" spans="1:6" ht="17.25" thickTop="1" thickBot="1" x14ac:dyDescent="0.3">
      <c r="A9" s="77" t="s">
        <v>120</v>
      </c>
      <c r="B9" s="122"/>
      <c r="C9" s="181">
        <f>+'Discount Rates'!B25</f>
        <v>16729.129609977324</v>
      </c>
      <c r="D9" s="182">
        <f>+'Discount Rates'!K25</f>
        <v>125723.29433922112</v>
      </c>
      <c r="E9" s="182">
        <f>+'Discount Rates'!AE25</f>
        <v>222123.93037502494</v>
      </c>
      <c r="F9" s="138"/>
    </row>
    <row r="10" spans="1:6" ht="15.75" thickTop="1" x14ac:dyDescent="0.2">
      <c r="A10" s="54"/>
      <c r="B10" s="55"/>
      <c r="C10" s="56"/>
      <c r="D10" s="55"/>
      <c r="E10" s="56"/>
      <c r="F10" s="118"/>
    </row>
    <row r="11" spans="1:6" ht="32.25" thickBot="1" x14ac:dyDescent="0.3">
      <c r="A11" s="133" t="s">
        <v>122</v>
      </c>
      <c r="B11" s="134"/>
      <c r="C11" s="140" t="s">
        <v>75</v>
      </c>
      <c r="D11" s="141" t="s">
        <v>76</v>
      </c>
      <c r="E11" s="140" t="s">
        <v>77</v>
      </c>
      <c r="F11" s="137"/>
    </row>
    <row r="12" spans="1:6" ht="15.75" thickTop="1" x14ac:dyDescent="0.2">
      <c r="A12" s="54" t="s">
        <v>184</v>
      </c>
      <c r="B12" s="55"/>
      <c r="C12" s="170">
        <f>+'Discount Rates'!B40/'ROI Actual Expense Fed''l &amp;State'!B37</f>
        <v>3533.1921736272107</v>
      </c>
      <c r="D12" s="170">
        <f>+'Discount Rates'!K40/'ROI Actual Expense Fed''l &amp;State'!B37</f>
        <v>26552.759764443501</v>
      </c>
      <c r="E12" s="170">
        <f>+'Discount Rates'!AE40/'ROI Actual Expense Fed''l &amp;State'!B37</f>
        <v>46912.574095205266</v>
      </c>
      <c r="F12" s="142"/>
    </row>
    <row r="13" spans="1:6" x14ac:dyDescent="0.2">
      <c r="A13" s="54" t="s">
        <v>123</v>
      </c>
      <c r="B13" s="55"/>
      <c r="C13" s="170">
        <f>+'Discount Rates'!B70/'ROI Actual Expense Fed''l &amp;State'!B37</f>
        <v>403.8050068027211</v>
      </c>
      <c r="D13" s="170">
        <f>+'Discount Rates'!K70/'ROI Actual Expense Fed''l &amp;State'!B37</f>
        <v>3034.6884093498579</v>
      </c>
      <c r="E13" s="170">
        <f>+'Discount Rates'!AE70/'ROI Actual Expense Fed''l &amp;State'!B37</f>
        <v>5361.5912666872846</v>
      </c>
      <c r="F13" s="142"/>
    </row>
    <row r="14" spans="1:6" x14ac:dyDescent="0.2">
      <c r="A14" s="54" t="s">
        <v>121</v>
      </c>
      <c r="B14" s="55"/>
      <c r="C14" s="170">
        <f>+'Discount Rates'!B85/'ROI Actual Expense Fed''l &amp;State'!B37</f>
        <v>592.27755102040817</v>
      </c>
      <c r="D14" s="170">
        <f>+'Discount Rates'!K85/'ROI Actual Expense Fed''l &amp;State'!B37</f>
        <v>4451.1033516676043</v>
      </c>
      <c r="E14" s="170">
        <f>+'Discount Rates'!AE85/'ROI Actual Expense Fed''l &amp;State'!B37</f>
        <v>7864.068279265709</v>
      </c>
      <c r="F14" s="142"/>
    </row>
    <row r="15" spans="1:6" ht="16.5" thickBot="1" x14ac:dyDescent="0.3">
      <c r="A15" s="81" t="s">
        <v>124</v>
      </c>
      <c r="B15" s="132"/>
      <c r="C15" s="153">
        <f>SUM(C12:C14)</f>
        <v>4529.2747314503395</v>
      </c>
      <c r="D15" s="153">
        <f>SUM(D12:D14)</f>
        <v>34038.551525460964</v>
      </c>
      <c r="E15" s="153">
        <f>SUM(E12:E14)</f>
        <v>60138.233641158258</v>
      </c>
      <c r="F15" s="143"/>
    </row>
    <row r="16" spans="1:6" ht="17.25" thickTop="1" thickBot="1" x14ac:dyDescent="0.3">
      <c r="A16" s="188"/>
      <c r="B16" s="194"/>
      <c r="C16" s="195"/>
      <c r="D16" s="195"/>
      <c r="E16" s="195"/>
      <c r="F16" s="196"/>
    </row>
    <row r="17" spans="1:6" ht="17.25" thickTop="1" thickBot="1" x14ac:dyDescent="0.3">
      <c r="A17" s="86" t="s">
        <v>3</v>
      </c>
      <c r="B17" s="144"/>
      <c r="C17" s="198">
        <f>(+C15-D5)/C15</f>
        <v>3.5075386551637867E-2</v>
      </c>
      <c r="D17" s="145">
        <f>(+D15-D5)/D5</f>
        <v>6.7884138761271853</v>
      </c>
      <c r="E17" s="145">
        <f>(+E15-D5)/D5</f>
        <v>12.760322704279133</v>
      </c>
      <c r="F17" s="146"/>
    </row>
    <row r="18" spans="1:6" x14ac:dyDescent="0.2">
      <c r="A18" s="54"/>
      <c r="B18" s="55"/>
      <c r="C18" s="56"/>
      <c r="D18" s="55"/>
      <c r="E18" s="56"/>
      <c r="F18" s="118"/>
    </row>
    <row r="19" spans="1:6" ht="15.75" thickBot="1" x14ac:dyDescent="0.25">
      <c r="A19" s="54"/>
      <c r="B19" s="55"/>
      <c r="C19" s="56"/>
      <c r="D19" s="55"/>
      <c r="E19" s="56"/>
      <c r="F19" s="118"/>
    </row>
    <row r="20" spans="1:6" ht="21" thickBot="1" x14ac:dyDescent="0.35">
      <c r="A20" s="262" t="s">
        <v>176</v>
      </c>
      <c r="B20" s="263"/>
      <c r="C20" s="263"/>
      <c r="D20" s="263"/>
      <c r="E20" s="263"/>
      <c r="F20" s="264"/>
    </row>
    <row r="21" spans="1:6" ht="15.75" thickBot="1" x14ac:dyDescent="0.25">
      <c r="A21" s="54"/>
      <c r="B21" s="55"/>
      <c r="C21" s="56"/>
      <c r="D21" s="55"/>
      <c r="E21" s="56"/>
      <c r="F21" s="118"/>
    </row>
    <row r="22" spans="1:6" ht="16.5" thickBot="1" x14ac:dyDescent="0.3">
      <c r="A22" s="245" t="str">
        <f>+'ROI Cash Rec''d Fed''l &amp; State'!A20:F20</f>
        <v>Benefit-Cost Ratio, Payback of Federal and State Taxes and All Public Supports    (FFY2011)</v>
      </c>
      <c r="B22" s="248"/>
      <c r="C22" s="248"/>
      <c r="D22" s="248"/>
      <c r="E22" s="248"/>
      <c r="F22" s="249"/>
    </row>
    <row r="23" spans="1:6" ht="15.75" thickBot="1" x14ac:dyDescent="0.25">
      <c r="A23" s="21"/>
      <c r="B23" s="147"/>
      <c r="C23" s="259" t="s">
        <v>56</v>
      </c>
      <c r="D23" s="260"/>
      <c r="E23" s="260"/>
      <c r="F23" s="261"/>
    </row>
    <row r="24" spans="1:6" ht="15.75" thickBot="1" x14ac:dyDescent="0.25">
      <c r="A24" s="9"/>
      <c r="B24" s="148" t="s">
        <v>18</v>
      </c>
      <c r="C24" s="197" t="s">
        <v>19</v>
      </c>
      <c r="D24" s="185" t="s">
        <v>20</v>
      </c>
      <c r="E24" s="186" t="s">
        <v>21</v>
      </c>
      <c r="F24" s="187" t="s">
        <v>54</v>
      </c>
    </row>
    <row r="25" spans="1:6" ht="45" x14ac:dyDescent="0.2">
      <c r="A25" s="39" t="s">
        <v>125</v>
      </c>
      <c r="B25" s="25">
        <f>+'Discount Rates'!B70</f>
        <v>890390.04</v>
      </c>
      <c r="C25" s="149">
        <f>+'Discount Rates'!D70</f>
        <v>2500231.4085037992</v>
      </c>
      <c r="D25" s="149">
        <f>+'Discount Rates'!F70</f>
        <v>3906329.2061313642</v>
      </c>
      <c r="E25" s="150">
        <f>+'Discount Rates'!K70</f>
        <v>6691487.9426164366</v>
      </c>
      <c r="F25" s="151">
        <f>+'Discount Rates'!AE70</f>
        <v>11822308.743045462</v>
      </c>
    </row>
    <row r="26" spans="1:6" ht="30" x14ac:dyDescent="0.2">
      <c r="A26" s="39" t="s">
        <v>1</v>
      </c>
      <c r="B26" s="60">
        <f>+'Discount Rates'!B85</f>
        <v>1305972</v>
      </c>
      <c r="C26" s="60">
        <f>+'Discount Rates'!D85</f>
        <v>3667193.1022796747</v>
      </c>
      <c r="D26" s="60">
        <f>+'Discount Rates'!F85</f>
        <v>5729575.0590267051</v>
      </c>
      <c r="E26" s="61">
        <f>+'Discount Rates'!K85</f>
        <v>9814682.8904270679</v>
      </c>
      <c r="F26" s="62">
        <f>+'Discount Rates'!AE85</f>
        <v>17340270.555780888</v>
      </c>
    </row>
    <row r="27" spans="1:6" ht="30" x14ac:dyDescent="0.2">
      <c r="A27" s="39" t="s">
        <v>185</v>
      </c>
      <c r="B27" s="25">
        <f>+'Discount Rates'!B40</f>
        <v>7790688.7428479996</v>
      </c>
      <c r="C27" s="25">
        <f>+'Discount Rates'!D40</f>
        <v>21876395.527453955</v>
      </c>
      <c r="D27" s="25">
        <f>+'Discount Rates'!F40</f>
        <v>34179397.348229527</v>
      </c>
      <c r="E27" s="25">
        <f>+'Discount Rates'!K40</f>
        <v>58548835.280597918</v>
      </c>
      <c r="F27" s="29">
        <f>+'Discount Rates'!AE40</f>
        <v>103442225.87992761</v>
      </c>
    </row>
    <row r="28" spans="1:6" x14ac:dyDescent="0.2">
      <c r="A28" s="39" t="s">
        <v>22</v>
      </c>
      <c r="B28" s="25">
        <f>SUM(B25:B27)</f>
        <v>9987050.7828480005</v>
      </c>
      <c r="C28" s="25">
        <f>SUM(C25:C27)</f>
        <v>28043820.03823743</v>
      </c>
      <c r="D28" s="25">
        <f>SUM(D25:D27)</f>
        <v>43815301.6133876</v>
      </c>
      <c r="E28" s="49">
        <f>SUM(E25:E27)</f>
        <v>75055006.113641426</v>
      </c>
      <c r="F28" s="29">
        <f>SUM(F25:F27)</f>
        <v>132604805.17875396</v>
      </c>
    </row>
    <row r="29" spans="1:6" ht="18" customHeight="1" x14ac:dyDescent="0.2">
      <c r="A29" s="39" t="s">
        <v>23</v>
      </c>
      <c r="B29" s="25">
        <f>+C44</f>
        <v>9636751.1161287669</v>
      </c>
      <c r="C29" s="25">
        <f>+B29</f>
        <v>9636751.1161287669</v>
      </c>
      <c r="D29" s="25">
        <f>+B29</f>
        <v>9636751.1161287669</v>
      </c>
      <c r="E29" s="49">
        <f>+B29</f>
        <v>9636751.1161287669</v>
      </c>
      <c r="F29" s="29">
        <f>+C29</f>
        <v>9636751.1161287669</v>
      </c>
    </row>
    <row r="30" spans="1:6" x14ac:dyDescent="0.2">
      <c r="A30" s="39" t="s">
        <v>26</v>
      </c>
      <c r="B30" s="30">
        <f>-B29+B28</f>
        <v>350299.66671923362</v>
      </c>
      <c r="C30" s="30">
        <f>-C29+C28</f>
        <v>18407068.922108665</v>
      </c>
      <c r="D30" s="30">
        <f>-D29+D28</f>
        <v>34178550.497258835</v>
      </c>
      <c r="E30" s="50">
        <f>-E29+E28</f>
        <v>65418254.997512661</v>
      </c>
      <c r="F30" s="31">
        <f>-F29+F28</f>
        <v>122968054.06262518</v>
      </c>
    </row>
    <row r="31" spans="1:6" ht="15.75" x14ac:dyDescent="0.25">
      <c r="A31" s="40" t="s">
        <v>24</v>
      </c>
      <c r="B31" s="36">
        <f>100*(B30/B29)</f>
        <v>3.6350390551536256</v>
      </c>
      <c r="C31" s="36">
        <f>100*(C30/C29)</f>
        <v>191.0090724590911</v>
      </c>
      <c r="D31" s="32">
        <f>100*(D30/D29)</f>
        <v>354.66880990684848</v>
      </c>
      <c r="E31" s="51">
        <f>100*(E30/E29)</f>
        <v>678.84138761271856</v>
      </c>
      <c r="F31" s="33">
        <f>100*(F30/F29)</f>
        <v>1276.0322704279133</v>
      </c>
    </row>
    <row r="32" spans="1:6" ht="15.75" x14ac:dyDescent="0.25">
      <c r="A32" s="40" t="s">
        <v>25</v>
      </c>
      <c r="B32" s="36">
        <f>+B30/2146</f>
        <v>163.23376827550496</v>
      </c>
      <c r="C32" s="36">
        <f>+C30/2146</f>
        <v>8577.3853318306919</v>
      </c>
      <c r="D32" s="32">
        <f>+D30/2146</f>
        <v>15926.631173000389</v>
      </c>
      <c r="E32" s="51">
        <f>+E30/2146</f>
        <v>30483.809411702077</v>
      </c>
      <c r="F32" s="33">
        <f>+F30/2146</f>
        <v>57301.050355370542</v>
      </c>
    </row>
    <row r="33" spans="1:11" ht="15.75" thickBot="1" x14ac:dyDescent="0.25">
      <c r="A33" s="11"/>
      <c r="B33" s="13"/>
      <c r="C33" s="12"/>
      <c r="D33" s="13"/>
      <c r="E33" s="52"/>
      <c r="F33" s="53"/>
    </row>
    <row r="34" spans="1:11" ht="15.75" thickBot="1" x14ac:dyDescent="0.25">
      <c r="A34" s="119"/>
      <c r="B34" s="55"/>
      <c r="C34" s="56"/>
      <c r="D34" s="55"/>
      <c r="E34" s="56"/>
      <c r="F34" s="118"/>
    </row>
    <row r="35" spans="1:11" ht="16.5" thickBot="1" x14ac:dyDescent="0.3">
      <c r="A35" s="245" t="s">
        <v>183</v>
      </c>
      <c r="B35" s="248"/>
      <c r="C35" s="248"/>
      <c r="D35" s="248"/>
      <c r="E35" s="248"/>
      <c r="F35" s="249"/>
    </row>
    <row r="36" spans="1:11" ht="15.75" x14ac:dyDescent="0.25">
      <c r="A36" s="22"/>
      <c r="B36" s="23" t="s">
        <v>59</v>
      </c>
      <c r="C36" s="23" t="s">
        <v>60</v>
      </c>
      <c r="D36" s="23" t="s">
        <v>61</v>
      </c>
      <c r="E36" s="23"/>
      <c r="F36" s="24"/>
    </row>
    <row r="37" spans="1:11" ht="30" x14ac:dyDescent="0.2">
      <c r="A37" s="27" t="s">
        <v>126</v>
      </c>
      <c r="B37" s="16">
        <f>+'Entry Required'!B3</f>
        <v>2205</v>
      </c>
      <c r="C37" s="25">
        <f>+'Entry Required'!B19</f>
        <v>8907340.9199999999</v>
      </c>
      <c r="D37" s="25">
        <f>+C37/B37</f>
        <v>4039.6103945578229</v>
      </c>
      <c r="E37" s="7"/>
      <c r="F37" s="10"/>
      <c r="H37" s="238" t="s">
        <v>172</v>
      </c>
      <c r="I37" s="238"/>
      <c r="J37" s="238"/>
      <c r="K37" s="238"/>
    </row>
    <row r="38" spans="1:11" ht="30" x14ac:dyDescent="0.2">
      <c r="A38" s="27" t="s">
        <v>135</v>
      </c>
      <c r="B38" s="16">
        <f>+'Entry Required'!B4</f>
        <v>1491</v>
      </c>
      <c r="C38" s="25">
        <f>+'Entry Required'!B20</f>
        <v>2234215.31</v>
      </c>
      <c r="D38" s="25">
        <f t="shared" ref="D38:D44" si="0">+C38/B38</f>
        <v>1498.467679409792</v>
      </c>
      <c r="E38" s="7"/>
      <c r="F38" s="10"/>
    </row>
    <row r="39" spans="1:11" ht="30" x14ac:dyDescent="0.2">
      <c r="A39" s="27" t="s">
        <v>136</v>
      </c>
      <c r="B39" s="16">
        <f>+'Entry Required'!B5</f>
        <v>302</v>
      </c>
      <c r="C39" s="25">
        <f>+'Entry Required'!B21</f>
        <v>9492.4500000000007</v>
      </c>
      <c r="D39" s="25">
        <f t="shared" si="0"/>
        <v>31.431953642384109</v>
      </c>
      <c r="E39" s="7"/>
      <c r="F39" s="10"/>
    </row>
    <row r="40" spans="1:11" ht="30.75" thickBot="1" x14ac:dyDescent="0.25">
      <c r="A40" s="27" t="s">
        <v>137</v>
      </c>
      <c r="B40" s="16">
        <f>+'Entry Required'!B6</f>
        <v>1672</v>
      </c>
      <c r="C40" s="25">
        <f>+'Entry Required'!B22</f>
        <v>189462.32</v>
      </c>
      <c r="D40" s="25">
        <f t="shared" si="0"/>
        <v>113.31478468899522</v>
      </c>
      <c r="E40" s="7"/>
      <c r="F40" s="204"/>
    </row>
    <row r="41" spans="1:11" ht="30" x14ac:dyDescent="0.2">
      <c r="A41" s="27" t="s">
        <v>138</v>
      </c>
      <c r="B41" s="16">
        <f>+'Entry Required'!B7</f>
        <v>51</v>
      </c>
      <c r="C41" s="25">
        <f>+'Entry Required'!B23</f>
        <v>1003</v>
      </c>
      <c r="D41" s="25">
        <f t="shared" si="0"/>
        <v>19.666666666666668</v>
      </c>
      <c r="E41" s="202"/>
      <c r="F41" s="205" t="s">
        <v>140</v>
      </c>
    </row>
    <row r="42" spans="1:11" ht="30" x14ac:dyDescent="0.2">
      <c r="A42" s="27" t="s">
        <v>131</v>
      </c>
      <c r="B42" s="16">
        <f>+'Entry Required'!B8</f>
        <v>19477</v>
      </c>
      <c r="C42" s="25">
        <f>+'Entry Required'!B24</f>
        <v>6442958</v>
      </c>
      <c r="D42" s="25">
        <f t="shared" si="0"/>
        <v>330.79827488832984</v>
      </c>
      <c r="E42" s="202"/>
      <c r="F42" s="206">
        <f>+F43/B53</f>
        <v>13861.666666666666</v>
      </c>
    </row>
    <row r="43" spans="1:11" ht="30.75" thickBot="1" x14ac:dyDescent="0.25">
      <c r="A43" s="27" t="s">
        <v>69</v>
      </c>
      <c r="B43" s="16">
        <f>SUM(B37:B38)</f>
        <v>3696</v>
      </c>
      <c r="C43" s="99">
        <f>(+C37)+(C38)+(B43*D42)</f>
        <v>12364186.653987268</v>
      </c>
      <c r="D43" s="25">
        <f t="shared" si="0"/>
        <v>3345.2885968580272</v>
      </c>
      <c r="E43" s="203"/>
      <c r="F43" s="211">
        <f>+'Entry Required'!B25</f>
        <v>30564975</v>
      </c>
    </row>
    <row r="44" spans="1:11" x14ac:dyDescent="0.2">
      <c r="A44" s="41" t="s">
        <v>70</v>
      </c>
      <c r="B44" s="16">
        <f>+B37</f>
        <v>2205</v>
      </c>
      <c r="C44" s="25">
        <f>(+B44*D42)+C37</f>
        <v>9636751.1161287669</v>
      </c>
      <c r="D44" s="25">
        <f t="shared" si="0"/>
        <v>4370.408669446153</v>
      </c>
      <c r="E44" s="7"/>
      <c r="F44" s="173"/>
    </row>
    <row r="45" spans="1:11" ht="30" x14ac:dyDescent="0.2">
      <c r="A45" s="27" t="s">
        <v>132</v>
      </c>
      <c r="B45" s="16">
        <f>+B37</f>
        <v>2205</v>
      </c>
      <c r="C45" s="25">
        <f>+E53</f>
        <v>36887730.789999999</v>
      </c>
      <c r="D45" s="25">
        <f>+C45/B45</f>
        <v>16729.129609977324</v>
      </c>
      <c r="E45" s="7"/>
      <c r="F45" s="10"/>
    </row>
    <row r="46" spans="1:11" x14ac:dyDescent="0.2">
      <c r="A46" s="41"/>
      <c r="B46" s="6"/>
      <c r="C46" s="25"/>
      <c r="D46" s="25"/>
      <c r="E46" s="7"/>
      <c r="F46" s="10"/>
    </row>
    <row r="47" spans="1:11" ht="15.75" x14ac:dyDescent="0.25">
      <c r="A47" s="42" t="s">
        <v>87</v>
      </c>
      <c r="B47" s="94">
        <f>+B37/B43</f>
        <v>0.59659090909090906</v>
      </c>
      <c r="C47" s="35">
        <f>(+C45-C44)/C44</f>
        <v>2.8278181459166269</v>
      </c>
      <c r="D47" s="34">
        <f>+D45-D44</f>
        <v>12358.720940531171</v>
      </c>
      <c r="E47" s="7"/>
      <c r="F47" s="10"/>
    </row>
    <row r="48" spans="1:11" ht="15.75" x14ac:dyDescent="0.25">
      <c r="A48" s="19"/>
      <c r="B48" s="17" t="s">
        <v>62</v>
      </c>
      <c r="C48" s="18" t="s">
        <v>63</v>
      </c>
      <c r="D48" s="17" t="s">
        <v>64</v>
      </c>
      <c r="E48" s="7"/>
      <c r="F48" s="10"/>
    </row>
    <row r="49" spans="1:6" ht="15.75" thickBot="1" x14ac:dyDescent="0.25">
      <c r="A49" s="20"/>
      <c r="B49" s="12"/>
      <c r="C49" s="13"/>
      <c r="D49" s="12"/>
      <c r="E49" s="13"/>
      <c r="F49" s="14"/>
    </row>
    <row r="50" spans="1:6" ht="15.75" thickBot="1" x14ac:dyDescent="0.25">
      <c r="A50" s="54"/>
      <c r="B50" s="55"/>
      <c r="C50" s="56"/>
      <c r="D50" s="55"/>
      <c r="E50" s="56"/>
      <c r="F50" s="118"/>
    </row>
    <row r="51" spans="1:6" ht="16.5" thickBot="1" x14ac:dyDescent="0.3">
      <c r="A51" s="245" t="s">
        <v>179</v>
      </c>
      <c r="B51" s="248"/>
      <c r="C51" s="248"/>
      <c r="D51" s="248"/>
      <c r="E51" s="248"/>
      <c r="F51" s="249"/>
    </row>
    <row r="52" spans="1:6" ht="15.75" x14ac:dyDescent="0.25">
      <c r="A52" s="9"/>
      <c r="B52" s="37" t="s">
        <v>59</v>
      </c>
      <c r="C52" s="38" t="s">
        <v>65</v>
      </c>
      <c r="D52" s="37" t="s">
        <v>66</v>
      </c>
      <c r="E52" s="38" t="s">
        <v>68</v>
      </c>
      <c r="F52" s="10"/>
    </row>
    <row r="53" spans="1:6" x14ac:dyDescent="0.2">
      <c r="A53" s="43" t="s">
        <v>67</v>
      </c>
      <c r="B53" s="16">
        <f>+'Entry Required'!B3</f>
        <v>2205</v>
      </c>
      <c r="C53" s="25">
        <f>+'Entry Required'!B12</f>
        <v>9455085.9700000007</v>
      </c>
      <c r="D53" s="25">
        <f>+'Entry Required'!B13</f>
        <v>46342816.759999998</v>
      </c>
      <c r="E53" s="25">
        <f>+D53-C53</f>
        <v>36887730.789999999</v>
      </c>
      <c r="F53" s="10"/>
    </row>
    <row r="54" spans="1:6" x14ac:dyDescent="0.2">
      <c r="A54" s="43"/>
      <c r="B54" s="16"/>
      <c r="C54" s="25"/>
      <c r="D54" s="25"/>
      <c r="E54" s="25"/>
      <c r="F54" s="10"/>
    </row>
    <row r="55" spans="1:6" x14ac:dyDescent="0.2">
      <c r="A55" s="39" t="s">
        <v>106</v>
      </c>
      <c r="B55" s="16">
        <f>+'Entry Required'!B15</f>
        <v>122</v>
      </c>
      <c r="C55" s="25">
        <f>+'Entry Required'!B16</f>
        <v>74199.17</v>
      </c>
      <c r="D55" s="8">
        <v>0</v>
      </c>
      <c r="E55" s="28">
        <f>(+D55-C55)*12</f>
        <v>-890390.04</v>
      </c>
      <c r="F55" s="10"/>
    </row>
    <row r="56" spans="1:6" x14ac:dyDescent="0.2">
      <c r="A56" s="39" t="s">
        <v>104</v>
      </c>
      <c r="B56" s="16">
        <f>+'Entry Required'!B17</f>
        <v>199</v>
      </c>
      <c r="C56" s="25">
        <f>+'Entry Required'!B18</f>
        <v>108831</v>
      </c>
      <c r="D56" s="8">
        <v>0</v>
      </c>
      <c r="E56" s="28">
        <f>(+D56-C56)*12</f>
        <v>-1305972</v>
      </c>
      <c r="F56" s="10"/>
    </row>
    <row r="57" spans="1:6" ht="15.75" thickBot="1" x14ac:dyDescent="0.25">
      <c r="A57" s="39" t="s">
        <v>105</v>
      </c>
      <c r="B57" s="26">
        <f>SUM(B55:B56)</f>
        <v>321</v>
      </c>
      <c r="C57" s="44">
        <f>SUM(C55:C56)</f>
        <v>183030.16999999998</v>
      </c>
      <c r="D57" s="120">
        <f>SUM(D55:D56)</f>
        <v>0</v>
      </c>
      <c r="E57" s="121">
        <f>(+D57-C57)*12</f>
        <v>-2196362.04</v>
      </c>
      <c r="F57" s="14"/>
    </row>
    <row r="58" spans="1:6" ht="15.75" thickBot="1" x14ac:dyDescent="0.25">
      <c r="A58" s="112"/>
      <c r="B58" s="113"/>
      <c r="C58" s="114"/>
      <c r="D58" s="115"/>
      <c r="E58" s="116"/>
      <c r="F58" s="117"/>
    </row>
    <row r="59" spans="1:6" x14ac:dyDescent="0.2">
      <c r="B59" s="15"/>
    </row>
    <row r="60" spans="1:6" x14ac:dyDescent="0.2">
      <c r="B60" s="15"/>
    </row>
    <row r="61" spans="1:6" x14ac:dyDescent="0.2">
      <c r="B61" s="15"/>
    </row>
    <row r="65" spans="1:12" x14ac:dyDescent="0.2">
      <c r="B65" s="1" t="s">
        <v>6</v>
      </c>
      <c r="C65" s="3" t="s">
        <v>7</v>
      </c>
      <c r="D65" s="1" t="s">
        <v>8</v>
      </c>
    </row>
    <row r="66" spans="1:12" x14ac:dyDescent="0.2">
      <c r="A66" t="s">
        <v>5</v>
      </c>
      <c r="B66" s="1">
        <f>+F43</f>
        <v>30564975</v>
      </c>
      <c r="C66" s="45">
        <f>+B37+B38+B40+B41</f>
        <v>5419</v>
      </c>
      <c r="D66" s="1">
        <f>+B66/C66</f>
        <v>5640.3349326443995</v>
      </c>
      <c r="F66" s="2" t="s">
        <v>82</v>
      </c>
    </row>
    <row r="67" spans="1:12" x14ac:dyDescent="0.2">
      <c r="C67" s="45"/>
    </row>
    <row r="68" spans="1:12" x14ac:dyDescent="0.2">
      <c r="A68" t="s">
        <v>9</v>
      </c>
      <c r="B68" s="1">
        <f>+'Discount Rates'!B6</f>
        <v>36887730.789999999</v>
      </c>
      <c r="C68" s="45">
        <f>+B37</f>
        <v>2205</v>
      </c>
      <c r="D68" s="1">
        <f>+B68/C68</f>
        <v>16729.129609977324</v>
      </c>
      <c r="F68" s="2" t="s">
        <v>83</v>
      </c>
    </row>
    <row r="69" spans="1:12" x14ac:dyDescent="0.2">
      <c r="A69" t="s">
        <v>13</v>
      </c>
      <c r="B69" s="1">
        <f>+D53</f>
        <v>46342816.759999998</v>
      </c>
      <c r="C69" s="45">
        <f>+C68</f>
        <v>2205</v>
      </c>
      <c r="D69" s="1">
        <f>+B69/C69</f>
        <v>21017.150458049884</v>
      </c>
    </row>
    <row r="70" spans="1:12" x14ac:dyDescent="0.2">
      <c r="A70" t="s">
        <v>10</v>
      </c>
      <c r="B70" s="1">
        <f>+B68*0.2148</f>
        <v>7923484.5736919995</v>
      </c>
      <c r="C70" s="45">
        <f>+C69</f>
        <v>2205</v>
      </c>
      <c r="D70" s="1">
        <f>+B70/C70</f>
        <v>3593.4170402231289</v>
      </c>
      <c r="E70" s="3">
        <f>+D70*10</f>
        <v>35934.170402231292</v>
      </c>
    </row>
    <row r="71" spans="1:12" x14ac:dyDescent="0.2">
      <c r="A71" t="s">
        <v>11</v>
      </c>
      <c r="B71" s="1">
        <f>+'Discount Rates'!B66+'Discount Rates'!B81</f>
        <v>2196362.04</v>
      </c>
      <c r="C71" s="45">
        <f>+C69</f>
        <v>2205</v>
      </c>
      <c r="D71" s="1">
        <f>+B71/C71</f>
        <v>996.08255782312926</v>
      </c>
      <c r="E71" s="3">
        <f>+D71*10</f>
        <v>9960.8255782312917</v>
      </c>
    </row>
    <row r="72" spans="1:12" x14ac:dyDescent="0.2">
      <c r="A72" t="s">
        <v>57</v>
      </c>
      <c r="B72" s="1">
        <f>+'Discount Rates'!B51</f>
        <v>9221932.6974999998</v>
      </c>
      <c r="C72" s="45">
        <f>+C68</f>
        <v>2205</v>
      </c>
      <c r="D72" s="1">
        <f>+B72/C72</f>
        <v>4182.2824024943311</v>
      </c>
      <c r="E72" s="3">
        <f>+D72*10</f>
        <v>41822.824024943315</v>
      </c>
    </row>
    <row r="73" spans="1:12" x14ac:dyDescent="0.2">
      <c r="A73" t="s">
        <v>12</v>
      </c>
      <c r="D73" s="1">
        <f>SUM(D70:D71)</f>
        <v>4589.4995980462581</v>
      </c>
      <c r="E73" s="3">
        <f>+E71+E70</f>
        <v>45894.995980462583</v>
      </c>
      <c r="F73" s="3"/>
      <c r="G73" s="3"/>
      <c r="H73" s="3"/>
      <c r="I73" s="3"/>
      <c r="J73" s="3"/>
      <c r="K73" s="3"/>
      <c r="L73" s="3"/>
    </row>
    <row r="77" spans="1:12" x14ac:dyDescent="0.2">
      <c r="A77" t="s">
        <v>14</v>
      </c>
      <c r="B77" s="4">
        <v>7.6499999999999999E-2</v>
      </c>
      <c r="C77" s="3" t="s">
        <v>55</v>
      </c>
    </row>
    <row r="78" spans="1:12" x14ac:dyDescent="0.2">
      <c r="A78" t="s">
        <v>58</v>
      </c>
      <c r="B78" s="4">
        <v>6.4799999999999996E-2</v>
      </c>
      <c r="C78" s="3" t="s">
        <v>15</v>
      </c>
    </row>
    <row r="79" spans="1:12" x14ac:dyDescent="0.2">
      <c r="A79" t="s">
        <v>16</v>
      </c>
      <c r="B79" s="5">
        <v>0.15</v>
      </c>
    </row>
    <row r="80" spans="1:12" x14ac:dyDescent="0.2">
      <c r="A80" t="s">
        <v>17</v>
      </c>
      <c r="B80" s="4">
        <f>SUM(B78:B79)</f>
        <v>0.21479999999999999</v>
      </c>
    </row>
    <row r="81" spans="6:12" x14ac:dyDescent="0.2">
      <c r="F81" s="3"/>
      <c r="G81" s="3"/>
      <c r="H81" s="3"/>
      <c r="I81" s="3"/>
      <c r="J81" s="3"/>
      <c r="K81" s="3"/>
      <c r="L81" s="3"/>
    </row>
    <row r="82" spans="6:12" x14ac:dyDescent="0.2">
      <c r="F82" s="3"/>
      <c r="G82" s="3"/>
      <c r="H82" s="3"/>
      <c r="I82" s="3"/>
      <c r="J82" s="3"/>
      <c r="K82" s="3"/>
      <c r="L82" s="3"/>
    </row>
  </sheetData>
  <mergeCells count="9">
    <mergeCell ref="A2:F2"/>
    <mergeCell ref="A3:F3"/>
    <mergeCell ref="A1:F1"/>
    <mergeCell ref="A35:F35"/>
    <mergeCell ref="A51:F51"/>
    <mergeCell ref="C23:F23"/>
    <mergeCell ref="A20:F20"/>
    <mergeCell ref="A22:F22"/>
    <mergeCell ref="H37:K37"/>
  </mergeCells>
  <phoneticPr fontId="2" type="noConversion"/>
  <printOptions horizontalCentered="1" verticalCentered="1"/>
  <pageMargins left="0.15" right="0.15" top="0.15" bottom="0.15" header="0.15" footer="0.15"/>
  <pageSetup scale="65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Entry Required</vt:lpstr>
      <vt:lpstr>Discount Rates</vt:lpstr>
      <vt:lpstr>ROI Cash Rec'd Fed'l &amp; State</vt:lpstr>
      <vt:lpstr>ROI Cash Rec'd State Portion </vt:lpstr>
      <vt:lpstr>ROI Actual Expense Fed'l &amp;State</vt:lpstr>
      <vt:lpstr>Sheet1</vt:lpstr>
      <vt:lpstr>'Discount Rates'!Print_Area</vt:lpstr>
      <vt:lpstr>'ROI Actual Expense Fed''l &amp;State'!Print_Area</vt:lpstr>
      <vt:lpstr>'ROI Cash Rec''d Fed''l &amp; State'!Print_Area</vt:lpstr>
      <vt:lpstr>'ROI Cash Rec''d State Portion '!Print_Area</vt:lpstr>
    </vt:vector>
  </TitlesOfParts>
  <Company>IVRS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dvrs_s1</dc:creator>
  <cp:lastModifiedBy>Windows User</cp:lastModifiedBy>
  <cp:lastPrinted>2014-11-21T16:42:43Z</cp:lastPrinted>
  <dcterms:created xsi:type="dcterms:W3CDTF">2009-02-06T15:27:35Z</dcterms:created>
  <dcterms:modified xsi:type="dcterms:W3CDTF">2015-03-30T15:23:38Z</dcterms:modified>
</cp:coreProperties>
</file>